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quitrice.ATLANTAREGION\Documents\"/>
    </mc:Choice>
  </mc:AlternateContent>
  <xr:revisionPtr revIDLastSave="0" documentId="8_{9FEA2CCC-1900-4267-801D-3022E0C9642C}" xr6:coauthVersionLast="45" xr6:coauthVersionMax="45" xr10:uidLastSave="{00000000-0000-0000-0000-000000000000}"/>
  <bookViews>
    <workbookView xWindow="-110" yWindow="-110" windowWidth="30220" windowHeight="19620" xr2:uid="{00000000-000D-0000-FFFF-FFFF00000000}"/>
  </bookViews>
  <sheets>
    <sheet name="Main" sheetId="1" r:id="rId1"/>
    <sheet name="Irrigation" sheetId="2" r:id="rId2"/>
    <sheet name="Fixed_Cost" sheetId="3" r:id="rId3"/>
  </sheets>
  <definedNames>
    <definedName name="_xlnm.Print_Area" localSheetId="0">Main!$B$1:$P$93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E5" i="3"/>
  <c r="I50" i="1"/>
  <c r="I41" i="1"/>
  <c r="I52" i="1" l="1"/>
  <c r="I61" i="1" s="1"/>
  <c r="F66" i="1"/>
  <c r="C75" i="1"/>
  <c r="C76" i="1" s="1"/>
  <c r="C83" i="1"/>
  <c r="C84" i="1" s="1"/>
  <c r="C91" i="1"/>
  <c r="C93" i="1" s="1"/>
  <c r="C74" i="1" l="1"/>
  <c r="C81" i="1"/>
  <c r="C82" i="1"/>
  <c r="C73" i="1"/>
  <c r="C89" i="1"/>
  <c r="C90" i="1"/>
  <c r="C77" i="1"/>
  <c r="C85" i="1"/>
  <c r="C92" i="1"/>
  <c r="G87" i="1" l="1"/>
  <c r="E79" i="1"/>
  <c r="E87" i="1"/>
  <c r="G79" i="1"/>
  <c r="E71" i="1"/>
  <c r="F12" i="3" l="1"/>
  <c r="F13" i="3"/>
  <c r="I13" i="3" s="1"/>
  <c r="H13" i="3"/>
  <c r="J13" i="3"/>
  <c r="F14" i="3"/>
  <c r="J14" i="3" s="1"/>
  <c r="F15" i="3"/>
  <c r="H15" i="3" s="1"/>
  <c r="F16" i="3"/>
  <c r="F17" i="3"/>
  <c r="I17" i="3" s="1"/>
  <c r="H18" i="3"/>
  <c r="I18" i="3"/>
  <c r="J18" i="3"/>
  <c r="F19" i="3"/>
  <c r="J19" i="3" s="1"/>
  <c r="F20" i="3"/>
  <c r="H20" i="3" s="1"/>
  <c r="J20" i="3"/>
  <c r="F21" i="3"/>
  <c r="E23" i="3"/>
  <c r="G16" i="2"/>
  <c r="F12" i="2"/>
  <c r="G12" i="2"/>
  <c r="H12" i="2"/>
  <c r="F13" i="2"/>
  <c r="H13" i="2"/>
  <c r="F14" i="2"/>
  <c r="H14" i="2"/>
  <c r="F15" i="2"/>
  <c r="H15" i="2"/>
  <c r="F16" i="2"/>
  <c r="H16" i="2"/>
  <c r="F17" i="2"/>
  <c r="H17" i="2"/>
  <c r="F18" i="2"/>
  <c r="H18" i="2"/>
  <c r="F19" i="2"/>
  <c r="H19" i="2"/>
  <c r="D20" i="2"/>
  <c r="F33" i="2"/>
  <c r="F35" i="2" s="1"/>
  <c r="H36" i="2" s="1"/>
  <c r="G28" i="1"/>
  <c r="G29" i="1"/>
  <c r="G30" i="1"/>
  <c r="H30" i="1" s="1"/>
  <c r="G31" i="1"/>
  <c r="H31" i="1" s="1"/>
  <c r="G32" i="1"/>
  <c r="G33" i="1"/>
  <c r="G34" i="1"/>
  <c r="H34" i="1" s="1"/>
  <c r="G35" i="1"/>
  <c r="H35" i="1" s="1"/>
  <c r="G37" i="1"/>
  <c r="G38" i="1"/>
  <c r="G39" i="1"/>
  <c r="H39" i="1" s="1"/>
  <c r="G44" i="1"/>
  <c r="G45" i="1"/>
  <c r="G46" i="1"/>
  <c r="H46" i="1" s="1"/>
  <c r="G47" i="1"/>
  <c r="H47" i="1" s="1"/>
  <c r="G48" i="1"/>
  <c r="G49" i="1"/>
  <c r="G57" i="1"/>
  <c r="H57" i="1" s="1"/>
  <c r="H49" i="1" l="1"/>
  <c r="I19" i="3"/>
  <c r="H48" i="1"/>
  <c r="H37" i="1"/>
  <c r="H32" i="1"/>
  <c r="H28" i="1"/>
  <c r="H20" i="2"/>
  <c r="I20" i="3"/>
  <c r="K20" i="3" s="1"/>
  <c r="J17" i="3"/>
  <c r="J15" i="3"/>
  <c r="I14" i="3"/>
  <c r="F30" i="2"/>
  <c r="H30" i="2" s="1"/>
  <c r="H40" i="2" s="1"/>
  <c r="F36" i="1" s="1"/>
  <c r="G36" i="1" s="1"/>
  <c r="F20" i="2"/>
  <c r="H17" i="3"/>
  <c r="I15" i="3"/>
  <c r="K15" i="3" s="1"/>
  <c r="E91" i="1"/>
  <c r="H44" i="1"/>
  <c r="H38" i="1"/>
  <c r="H45" i="1"/>
  <c r="G50" i="1"/>
  <c r="H33" i="1"/>
  <c r="H29" i="1"/>
  <c r="H21" i="3"/>
  <c r="I21" i="3"/>
  <c r="J21" i="3"/>
  <c r="K18" i="3"/>
  <c r="H12" i="3"/>
  <c r="I12" i="3"/>
  <c r="I23" i="3" s="1"/>
  <c r="F23" i="3"/>
  <c r="H26" i="3" s="1"/>
  <c r="J12" i="3"/>
  <c r="G15" i="2"/>
  <c r="G19" i="2"/>
  <c r="G14" i="2"/>
  <c r="G18" i="2"/>
  <c r="G13" i="2"/>
  <c r="G17" i="2"/>
  <c r="H25" i="3"/>
  <c r="H16" i="3"/>
  <c r="I16" i="3"/>
  <c r="J16" i="3"/>
  <c r="K13" i="3"/>
  <c r="H19" i="3"/>
  <c r="K19" i="3" s="1"/>
  <c r="H14" i="3"/>
  <c r="K14" i="3" s="1"/>
  <c r="K21" i="3" l="1"/>
  <c r="H50" i="1"/>
  <c r="F56" i="1"/>
  <c r="G56" i="1" s="1"/>
  <c r="H56" i="1" s="1"/>
  <c r="F21" i="1"/>
  <c r="G21" i="1" s="1"/>
  <c r="E92" i="1"/>
  <c r="E89" i="1"/>
  <c r="E90" i="1"/>
  <c r="F14" i="1"/>
  <c r="G14" i="1" s="1"/>
  <c r="G20" i="2"/>
  <c r="H22" i="2" s="1"/>
  <c r="H24" i="2" s="1"/>
  <c r="B67" i="1"/>
  <c r="E93" i="1"/>
  <c r="K17" i="3"/>
  <c r="G71" i="1"/>
  <c r="E83" i="1"/>
  <c r="E75" i="1"/>
  <c r="E85" i="1"/>
  <c r="H36" i="1"/>
  <c r="E84" i="1"/>
  <c r="E73" i="1"/>
  <c r="H23" i="3"/>
  <c r="H28" i="3" s="1"/>
  <c r="H29" i="3" s="1"/>
  <c r="F55" i="1" s="1"/>
  <c r="G55" i="1" s="1"/>
  <c r="K12" i="3"/>
  <c r="E82" i="1"/>
  <c r="D40" i="1"/>
  <c r="G40" i="1" s="1"/>
  <c r="E76" i="1"/>
  <c r="K16" i="3"/>
  <c r="J23" i="3"/>
  <c r="E74" i="1"/>
  <c r="E77" i="1"/>
  <c r="E81" i="1"/>
  <c r="H21" i="1" l="1"/>
  <c r="H40" i="1"/>
  <c r="H41" i="1" s="1"/>
  <c r="H55" i="1"/>
  <c r="K23" i="3"/>
  <c r="G41" i="1"/>
  <c r="D58" i="1" l="1"/>
  <c r="G58" i="1" s="1"/>
  <c r="H52" i="1"/>
  <c r="G52" i="1"/>
  <c r="H58" i="1" l="1"/>
  <c r="H59" i="1" s="1"/>
  <c r="H61" i="1" s="1"/>
  <c r="G59" i="1"/>
  <c r="G61" i="1" s="1"/>
  <c r="F67" i="1" l="1"/>
  <c r="D67" i="1"/>
  <c r="G93" i="1"/>
  <c r="G90" i="1"/>
  <c r="G89" i="1"/>
  <c r="G91" i="1"/>
  <c r="G92" i="1"/>
  <c r="G73" i="1"/>
  <c r="G82" i="1"/>
  <c r="G75" i="1"/>
  <c r="H14" i="1"/>
  <c r="G85" i="1"/>
  <c r="G83" i="1"/>
  <c r="G81" i="1"/>
  <c r="G74" i="1"/>
  <c r="G77" i="1"/>
  <c r="G84" i="1"/>
  <c r="G76" i="1"/>
</calcChain>
</file>

<file path=xl/sharedStrings.xml><?xml version="1.0" encoding="utf-8"?>
<sst xmlns="http://schemas.openxmlformats.org/spreadsheetml/2006/main" count="182" uniqueCount="144">
  <si>
    <t>Prepared by:</t>
  </si>
  <si>
    <t>Variable Costs</t>
  </si>
  <si>
    <t>Quantity</t>
  </si>
  <si>
    <t>Unit</t>
  </si>
  <si>
    <t>Price</t>
  </si>
  <si>
    <t>Amt/Acre</t>
  </si>
  <si>
    <t>Total</t>
  </si>
  <si>
    <t>Item</t>
  </si>
  <si>
    <t>Soil Test</t>
  </si>
  <si>
    <t>Irrigation</t>
  </si>
  <si>
    <t>Crop Insurance</t>
  </si>
  <si>
    <t>Interest on Operating Capital</t>
  </si>
  <si>
    <t>Cutting Transplants</t>
  </si>
  <si>
    <t>Plants</t>
  </si>
  <si>
    <t>Price per % CBD</t>
  </si>
  <si>
    <t>CBD %</t>
  </si>
  <si>
    <t>Dry material Yield</t>
  </si>
  <si>
    <t>Lime, applied</t>
  </si>
  <si>
    <t>lbs</t>
  </si>
  <si>
    <t>acre</t>
  </si>
  <si>
    <t>License Fee</t>
  </si>
  <si>
    <t>test</t>
  </si>
  <si>
    <t>Plastic Mulch</t>
  </si>
  <si>
    <t>4000' roll</t>
  </si>
  <si>
    <t>Labor, Mach Operation</t>
  </si>
  <si>
    <t>Labor, Production transplnt</t>
  </si>
  <si>
    <t>Lab Test Cost</t>
  </si>
  <si>
    <t>Plastic mulch cleanup</t>
  </si>
  <si>
    <t>Hr</t>
  </si>
  <si>
    <t>Acre</t>
  </si>
  <si>
    <t>License</t>
  </si>
  <si>
    <t>Machinery</t>
  </si>
  <si>
    <t>Machinery (Fuel, lube, oil)</t>
  </si>
  <si>
    <t>Fertigated Fertilizer</t>
  </si>
  <si>
    <t>Granular Fertilizer 5-10-15</t>
  </si>
  <si>
    <t>Ton</t>
  </si>
  <si>
    <t>hr</t>
  </si>
  <si>
    <t>Test</t>
  </si>
  <si>
    <t>Dollars</t>
  </si>
  <si>
    <t>Tote Containers</t>
  </si>
  <si>
    <t>Totes</t>
  </si>
  <si>
    <t>Total Variable Cost</t>
  </si>
  <si>
    <t>Pipe &amp; Fittings</t>
  </si>
  <si>
    <t>Tubing</t>
  </si>
  <si>
    <t>WELL (8 inches)</t>
  </si>
  <si>
    <t>Pump &amp; motor</t>
  </si>
  <si>
    <t>Filter &amp; auto</t>
  </si>
  <si>
    <t>Storage tanks</t>
  </si>
  <si>
    <t>Installation</t>
  </si>
  <si>
    <t>TOTAL</t>
  </si>
  <si>
    <t>INVESTMENT</t>
  </si>
  <si>
    <t>YRS.</t>
  </si>
  <si>
    <t>DEPREC.</t>
  </si>
  <si>
    <t>INTEREST</t>
  </si>
  <si>
    <t>TAXES &amp; INS.</t>
  </si>
  <si>
    <t>ACRES IN SYSTEM</t>
  </si>
  <si>
    <t>INTEREST RATE</t>
  </si>
  <si>
    <t>Row width in feet</t>
  </si>
  <si>
    <t>Price of tubing ($/ft)</t>
  </si>
  <si>
    <t>TOTAL ANNUAL FIXED COSTS</t>
  </si>
  <si>
    <t>TOTAL ANNUAL FIXED COSTS PER ACRE</t>
  </si>
  <si>
    <t>OPERATING COSTS</t>
  </si>
  <si>
    <t>MOTOR SIZE (HP)</t>
  </si>
  <si>
    <t>REPAIRS</t>
  </si>
  <si>
    <t>ANNUAL PUMPING HOURS</t>
  </si>
  <si>
    <t>ELECTRICITY</t>
  </si>
  <si>
    <t xml:space="preserve">  Demand (standby charge) per YEAR</t>
  </si>
  <si>
    <t xml:space="preserve">  Rate $ per KWH</t>
  </si>
  <si>
    <t>ANNUAL ENERGY COST</t>
  </si>
  <si>
    <t>ANNUAL ENERGY COST PER ACRE</t>
  </si>
  <si>
    <t>OPERATING COST PER ACRE PER YEAR</t>
  </si>
  <si>
    <t>Investment and Annual Fixed Costs</t>
  </si>
  <si>
    <t>Number of acres of this crop</t>
  </si>
  <si>
    <t xml:space="preserve">Interest rate </t>
  </si>
  <si>
    <t>% of time for</t>
  </si>
  <si>
    <t>Salvage</t>
  </si>
  <si>
    <t>Yrs. of</t>
  </si>
  <si>
    <t>This crop</t>
  </si>
  <si>
    <t>Cost</t>
  </si>
  <si>
    <t>Value</t>
  </si>
  <si>
    <t>Life</t>
  </si>
  <si>
    <t>Depr.</t>
  </si>
  <si>
    <t>Int.</t>
  </si>
  <si>
    <t>Tax&amp;Ins</t>
  </si>
  <si>
    <t>FC/Ac.</t>
  </si>
  <si>
    <t>Tractors (100 hp)</t>
  </si>
  <si>
    <t>Plow (6 row bedder))</t>
  </si>
  <si>
    <t>Disk (24')</t>
  </si>
  <si>
    <t>Subsoiler</t>
  </si>
  <si>
    <t>Transplanter</t>
  </si>
  <si>
    <t>Cultivator (6 row)</t>
  </si>
  <si>
    <t>Tillovator (6 row)</t>
  </si>
  <si>
    <t>Plastic layer (3 row)</t>
  </si>
  <si>
    <t>_______________</t>
  </si>
  <si>
    <t>Interest on Investment (Ave. Inv. X Int. Rate)</t>
  </si>
  <si>
    <t>Taxes and Insurance (Ave. Inv. X .014)</t>
  </si>
  <si>
    <t>Total Annual Fixed Costs</t>
  </si>
  <si>
    <t>Total Annual Fixed Costs Per Acre</t>
  </si>
  <si>
    <t>Bucker</t>
  </si>
  <si>
    <t>Fixed Costs</t>
  </si>
  <si>
    <t>Overhead and Management</t>
  </si>
  <si>
    <t>Total Fixed Costs</t>
  </si>
  <si>
    <t>Total Budgeted Cost Per Acre</t>
  </si>
  <si>
    <t>Total Revenue</t>
  </si>
  <si>
    <t>Sensitivity Analysis(Market Price)</t>
  </si>
  <si>
    <t>Sensitivity Analysis(%CBD Yield)</t>
  </si>
  <si>
    <t>Sensitivity Analysis(Dry Matter Yield)</t>
  </si>
  <si>
    <t>%CBD Yield</t>
  </si>
  <si>
    <t>Dry Matter Yield in lbs</t>
  </si>
  <si>
    <t xml:space="preserve">                           HEMP SOLID SET IRRIGATION SYSTEM</t>
  </si>
  <si>
    <t>Breakeven Yield (lbs)</t>
  </si>
  <si>
    <t>Your Values</t>
  </si>
  <si>
    <t>Price per Pound</t>
  </si>
  <si>
    <t>Profit</t>
  </si>
  <si>
    <t>Harvest and Hanging Cost</t>
  </si>
  <si>
    <t>Flower Stripping Cost(Bucking)</t>
  </si>
  <si>
    <t>Total PreHarvest Variable Costs</t>
  </si>
  <si>
    <t>Total Harvest and Post Harvest Variable Costs</t>
  </si>
  <si>
    <t>Equipment Costs for Hemp - 2019</t>
  </si>
  <si>
    <t>Acres of Hemp</t>
  </si>
  <si>
    <t>Curing Barn</t>
  </si>
  <si>
    <t>Injection system</t>
  </si>
  <si>
    <t>Total Profit</t>
  </si>
  <si>
    <t>Transportation Cost</t>
  </si>
  <si>
    <t>Miles</t>
  </si>
  <si>
    <t>Assuming Yield:</t>
  </si>
  <si>
    <t>Jeremy Baudrand, Benjamin Campbell, Julie Campbell, Tim Coolong, Noelle Fuller, and Adam Rabinowitz</t>
  </si>
  <si>
    <t>Assuming CBD %:</t>
  </si>
  <si>
    <t>Assuming Market Price:</t>
  </si>
  <si>
    <t>2019 - Hemp Flower for CBD - Spring Planting</t>
  </si>
  <si>
    <t>Estimated Costs and Returns</t>
  </si>
  <si>
    <t>Breakeven Analysis</t>
  </si>
  <si>
    <t>Assuming Cost per Pound</t>
  </si>
  <si>
    <t>Baseline</t>
  </si>
  <si>
    <t>Your Farm</t>
  </si>
  <si>
    <t>Percent</t>
  </si>
  <si>
    <t>Profit Per Acre</t>
  </si>
  <si>
    <t>Total Revenue Per Acre</t>
  </si>
  <si>
    <t>Harvest and Post Harvest Variable Costs</t>
  </si>
  <si>
    <t>Your Returns</t>
  </si>
  <si>
    <t>Budgeted Returns per Acre</t>
  </si>
  <si>
    <t>Change</t>
  </si>
  <si>
    <t>Sensitivity Analysis - Shows profit under various scenarios that change one of price per % CBD, % CBD yield, or dry matter yield.</t>
  </si>
  <si>
    <t>Total Farm Size (Acres)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</si>
</sst>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;[Red]\-&quot;$&quot;#,##0"/>
    <numFmt numFmtId="165" formatCode="_-* #,##0.00_-;\-* #,##0.00_-;_-* &quot;-&quot;??_-;_-@_-"/>
    <numFmt numFmtId="166" formatCode="&quot;$&quot;#,##0.00"/>
    <numFmt numFmtId="167" formatCode="0.0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rgb="FFFF0000"/>
      <name val="Arial"/>
      <family val="2"/>
    </font>
    <font>
      <b/>
      <sz val="10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3" borderId="0" xfId="0" applyFill="1"/>
    <xf numFmtId="0" fontId="2" fillId="0" borderId="0" xfId="0" applyFont="1"/>
    <xf numFmtId="49" fontId="0" fillId="0" borderId="0" xfId="0" applyNumberFormat="1"/>
    <xf numFmtId="166" fontId="0" fillId="0" borderId="0" xfId="0" applyNumberFormat="1"/>
    <xf numFmtId="2" fontId="4" fillId="0" borderId="0" xfId="0" applyNumberFormat="1" applyFont="1" applyFill="1"/>
    <xf numFmtId="2" fontId="0" fillId="0" borderId="0" xfId="0" applyNumberFormat="1" applyFill="1"/>
    <xf numFmtId="1" fontId="0" fillId="0" borderId="0" xfId="0" applyNumberFormat="1" applyFill="1"/>
    <xf numFmtId="1" fontId="0" fillId="0" borderId="1" xfId="0" applyNumberFormat="1" applyFill="1" applyBorder="1"/>
    <xf numFmtId="2" fontId="0" fillId="0" borderId="1" xfId="0" applyNumberFormat="1" applyFill="1" applyBorder="1"/>
    <xf numFmtId="2" fontId="7" fillId="0" borderId="0" xfId="0" applyNumberFormat="1" applyFont="1" applyFill="1"/>
    <xf numFmtId="0" fontId="0" fillId="0" borderId="0" xfId="0" applyFill="1" applyAlignment="1">
      <alignment horizontal="centerContinuous"/>
    </xf>
    <xf numFmtId="2" fontId="6" fillId="0" borderId="0" xfId="0" applyNumberFormat="1" applyFont="1" applyFill="1"/>
    <xf numFmtId="1" fontId="9" fillId="0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 applyBorder="1"/>
    <xf numFmtId="1" fontId="0" fillId="0" borderId="0" xfId="0" applyNumberFormat="1" applyFont="1" applyFill="1" applyBorder="1"/>
    <xf numFmtId="166" fontId="0" fillId="0" borderId="0" xfId="0" applyNumberFormat="1" applyFont="1" applyFill="1"/>
    <xf numFmtId="166" fontId="0" fillId="0" borderId="0" xfId="0" applyNumberFormat="1" applyFont="1" applyFill="1" applyBorder="1"/>
    <xf numFmtId="166" fontId="0" fillId="0" borderId="1" xfId="0" applyNumberFormat="1" applyFill="1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3" fontId="0" fillId="0" borderId="9" xfId="0" applyNumberFormat="1" applyBorder="1"/>
    <xf numFmtId="0" fontId="0" fillId="0" borderId="13" xfId="0" applyBorder="1"/>
    <xf numFmtId="0" fontId="2" fillId="0" borderId="4" xfId="0" applyFont="1" applyBorder="1"/>
    <xf numFmtId="0" fontId="0" fillId="0" borderId="10" xfId="0" applyBorder="1"/>
    <xf numFmtId="0" fontId="0" fillId="2" borderId="9" xfId="0" applyFill="1" applyBorder="1"/>
    <xf numFmtId="0" fontId="2" fillId="0" borderId="9" xfId="0" applyFont="1" applyBorder="1"/>
    <xf numFmtId="0" fontId="0" fillId="0" borderId="0" xfId="0" applyAlignment="1">
      <alignment horizontal="center"/>
    </xf>
    <xf numFmtId="166" fontId="0" fillId="0" borderId="8" xfId="0" applyNumberFormat="1" applyBorder="1"/>
    <xf numFmtId="166" fontId="0" fillId="0" borderId="9" xfId="0" applyNumberFormat="1" applyBorder="1"/>
    <xf numFmtId="0" fontId="0" fillId="0" borderId="0" xfId="0" applyFont="1"/>
    <xf numFmtId="2" fontId="0" fillId="0" borderId="0" xfId="0" applyNumberFormat="1" applyFill="1" applyBorder="1"/>
    <xf numFmtId="2" fontId="8" fillId="0" borderId="11" xfId="0" applyNumberFormat="1" applyFont="1" applyFill="1" applyBorder="1" applyAlignment="1">
      <alignment horizontal="centerContinuous"/>
    </xf>
    <xf numFmtId="2" fontId="8" fillId="0" borderId="15" xfId="0" applyNumberFormat="1" applyFont="1" applyFill="1" applyBorder="1" applyAlignment="1">
      <alignment horizontal="centerContinuous"/>
    </xf>
    <xf numFmtId="2" fontId="5" fillId="0" borderId="3" xfId="0" applyNumberFormat="1" applyFont="1" applyFill="1" applyBorder="1" applyAlignment="1">
      <alignment horizontal="centerContinuous"/>
    </xf>
    <xf numFmtId="3" fontId="5" fillId="0" borderId="3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2" fontId="0" fillId="0" borderId="0" xfId="0" applyNumberFormat="1" applyFont="1" applyFill="1"/>
    <xf numFmtId="2" fontId="10" fillId="0" borderId="0" xfId="0" applyNumberFormat="1" applyFont="1" applyFill="1"/>
    <xf numFmtId="2" fontId="9" fillId="0" borderId="0" xfId="0" applyNumberFormat="1" applyFont="1" applyFill="1"/>
    <xf numFmtId="9" fontId="9" fillId="0" borderId="0" xfId="0" applyNumberFormat="1" applyFont="1" applyFill="1"/>
    <xf numFmtId="1" fontId="0" fillId="0" borderId="1" xfId="0" applyNumberFormat="1" applyFont="1" applyFill="1" applyBorder="1"/>
    <xf numFmtId="2" fontId="0" fillId="0" borderId="1" xfId="0" applyNumberFormat="1" applyFont="1" applyFill="1" applyBorder="1"/>
    <xf numFmtId="2" fontId="9" fillId="0" borderId="2" xfId="0" applyNumberFormat="1" applyFont="1" applyFill="1" applyBorder="1"/>
    <xf numFmtId="2" fontId="9" fillId="0" borderId="1" xfId="0" applyNumberFormat="1" applyFont="1" applyFill="1" applyBorder="1"/>
    <xf numFmtId="166" fontId="0" fillId="2" borderId="9" xfId="0" applyNumberFormat="1" applyFill="1" applyBorder="1"/>
    <xf numFmtId="0" fontId="0" fillId="0" borderId="2" xfId="0" applyBorder="1" applyAlignment="1">
      <alignment horizontal="right"/>
    </xf>
    <xf numFmtId="3" fontId="0" fillId="0" borderId="5" xfId="0" applyNumberFormat="1" applyBorder="1"/>
    <xf numFmtId="167" fontId="9" fillId="0" borderId="0" xfId="0" applyNumberFormat="1" applyFont="1" applyFill="1"/>
    <xf numFmtId="44" fontId="0" fillId="0" borderId="2" xfId="0" applyNumberFormat="1" applyBorder="1" applyAlignment="1">
      <alignment horizontal="right"/>
    </xf>
    <xf numFmtId="44" fontId="0" fillId="0" borderId="5" xfId="2" applyFont="1" applyBorder="1"/>
    <xf numFmtId="3" fontId="0" fillId="0" borderId="0" xfId="0" applyNumberFormat="1" applyFill="1" applyBorder="1"/>
    <xf numFmtId="2" fontId="0" fillId="0" borderId="17" xfId="0" applyNumberFormat="1" applyFill="1" applyBorder="1"/>
    <xf numFmtId="8" fontId="11" fillId="0" borderId="7" xfId="0" applyNumberFormat="1" applyFont="1" applyBorder="1"/>
    <xf numFmtId="8" fontId="11" fillId="0" borderId="10" xfId="0" applyNumberFormat="1" applyFont="1" applyBorder="1"/>
    <xf numFmtId="8" fontId="2" fillId="0" borderId="16" xfId="0" applyNumberFormat="1" applyFont="1" applyBorder="1"/>
    <xf numFmtId="8" fontId="0" fillId="0" borderId="0" xfId="0" applyNumberFormat="1" applyBorder="1"/>
    <xf numFmtId="8" fontId="0" fillId="0" borderId="9" xfId="0" applyNumberFormat="1" applyBorder="1"/>
    <xf numFmtId="8" fontId="0" fillId="0" borderId="0" xfId="2" applyNumberFormat="1" applyFont="1" applyBorder="1"/>
    <xf numFmtId="8" fontId="0" fillId="0" borderId="9" xfId="2" applyNumberFormat="1" applyFont="1" applyBorder="1"/>
    <xf numFmtId="8" fontId="0" fillId="0" borderId="11" xfId="0" applyNumberFormat="1" applyBorder="1"/>
    <xf numFmtId="8" fontId="0" fillId="0" borderId="0" xfId="0" applyNumberFormat="1"/>
    <xf numFmtId="8" fontId="0" fillId="0" borderId="0" xfId="1" applyNumberFormat="1" applyFont="1"/>
    <xf numFmtId="8" fontId="2" fillId="0" borderId="1" xfId="0" applyNumberFormat="1" applyFont="1" applyBorder="1"/>
    <xf numFmtId="8" fontId="2" fillId="0" borderId="1" xfId="1" applyNumberFormat="1" applyFont="1" applyBorder="1"/>
    <xf numFmtId="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3" fontId="0" fillId="0" borderId="0" xfId="1" applyNumberFormat="1" applyFont="1" applyBorder="1"/>
    <xf numFmtId="3" fontId="0" fillId="0" borderId="9" xfId="1" applyNumberFormat="1" applyFont="1" applyBorder="1"/>
    <xf numFmtId="0" fontId="0" fillId="0" borderId="0" xfId="0" applyFill="1"/>
    <xf numFmtId="166" fontId="0" fillId="0" borderId="0" xfId="0" applyNumberFormat="1" applyFill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NumberFormat="1" applyFont="1" applyBorder="1"/>
    <xf numFmtId="0" fontId="2" fillId="0" borderId="5" xfId="0" applyFont="1" applyBorder="1"/>
    <xf numFmtId="3" fontId="2" fillId="0" borderId="2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Fill="1" applyBorder="1"/>
    <xf numFmtId="0" fontId="2" fillId="0" borderId="12" xfId="0" applyFont="1" applyBorder="1" applyAlignment="1">
      <alignment horizontal="center"/>
    </xf>
    <xf numFmtId="8" fontId="2" fillId="4" borderId="16" xfId="0" applyNumberFormat="1" applyFont="1" applyFill="1" applyBorder="1"/>
    <xf numFmtId="166" fontId="2" fillId="2" borderId="1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7" fontId="4" fillId="0" borderId="0" xfId="0" applyNumberFormat="1" applyFont="1" applyFill="1"/>
    <xf numFmtId="2" fontId="5" fillId="0" borderId="14" xfId="0" applyNumberFormat="1" applyFont="1" applyFill="1" applyBorder="1" applyAlignment="1">
      <alignment horizontal="centerContinuous"/>
    </xf>
    <xf numFmtId="2" fontId="11" fillId="0" borderId="0" xfId="0" applyNumberFormat="1" applyFont="1" applyFill="1"/>
    <xf numFmtId="2" fontId="10" fillId="0" borderId="9" xfId="0" applyNumberFormat="1" applyFont="1" applyFill="1" applyBorder="1" applyAlignment="1">
      <alignment horizontal="centerContinuous"/>
    </xf>
    <xf numFmtId="3" fontId="10" fillId="0" borderId="9" xfId="0" applyNumberFormat="1" applyFont="1" applyFill="1" applyBorder="1" applyAlignment="1">
      <alignment horizontal="centerContinuous"/>
    </xf>
    <xf numFmtId="0" fontId="0" fillId="2" borderId="0" xfId="0" applyFill="1"/>
    <xf numFmtId="9" fontId="0" fillId="0" borderId="0" xfId="3" applyFont="1"/>
    <xf numFmtId="13" fontId="0" fillId="0" borderId="0" xfId="0" applyNumberFormat="1"/>
    <xf numFmtId="44" fontId="0" fillId="0" borderId="9" xfId="2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93"/>
  <sheetViews>
    <sheetView tabSelected="1" topLeftCell="B1" zoomScaleNormal="100" workbookViewId="0">
      <selection activeCell="K23" sqref="K23"/>
    </sheetView>
  </sheetViews>
  <sheetFormatPr defaultColWidth="11.25" defaultRowHeight="15.5" x14ac:dyDescent="0.35"/>
  <cols>
    <col min="1" max="1" width="17.83203125" customWidth="1"/>
    <col min="2" max="2" width="10.33203125" customWidth="1"/>
    <col min="3" max="3" width="26" bestFit="1" customWidth="1"/>
    <col min="4" max="4" width="12.33203125" bestFit="1" customWidth="1"/>
    <col min="5" max="5" width="14.83203125" customWidth="1"/>
    <col min="6" max="6" width="21" customWidth="1"/>
    <col min="7" max="7" width="21.75" customWidth="1"/>
    <col min="8" max="8" width="18.83203125" bestFit="1" customWidth="1"/>
    <col min="9" max="9" width="13.5" bestFit="1" customWidth="1"/>
    <col min="10" max="10" width="17.83203125" bestFit="1" customWidth="1"/>
    <col min="11" max="11" width="15.75" bestFit="1" customWidth="1"/>
    <col min="12" max="12" width="9.08203125" bestFit="1" customWidth="1"/>
    <col min="13" max="13" width="20.5" bestFit="1" customWidth="1"/>
    <col min="14" max="14" width="14.83203125" bestFit="1" customWidth="1"/>
    <col min="15" max="15" width="18.58203125" customWidth="1"/>
    <col min="16" max="16" width="14.5" bestFit="1" customWidth="1"/>
  </cols>
  <sheetData>
    <row r="2" spans="3:16" x14ac:dyDescent="0.35">
      <c r="C2" s="102" t="s">
        <v>129</v>
      </c>
      <c r="D2" s="102"/>
      <c r="E2" s="102"/>
      <c r="F2" s="102"/>
      <c r="G2" s="102"/>
      <c r="H2" s="102"/>
      <c r="I2" s="102"/>
    </row>
    <row r="3" spans="3:16" x14ac:dyDescent="0.35">
      <c r="C3" s="103" t="s">
        <v>0</v>
      </c>
      <c r="D3" s="103"/>
      <c r="E3" s="103"/>
      <c r="F3" s="103"/>
      <c r="G3" s="103"/>
      <c r="H3" s="103"/>
      <c r="I3" s="103"/>
    </row>
    <row r="4" spans="3:16" x14ac:dyDescent="0.35">
      <c r="C4" s="103" t="s">
        <v>126</v>
      </c>
      <c r="D4" s="103"/>
      <c r="E4" s="103"/>
      <c r="F4" s="103"/>
      <c r="G4" s="103"/>
      <c r="H4" s="103"/>
      <c r="I4" s="103"/>
    </row>
    <row r="5" spans="3:16" x14ac:dyDescent="0.35">
      <c r="D5" s="2"/>
      <c r="E5" s="33"/>
    </row>
    <row r="6" spans="3:16" x14ac:dyDescent="0.35">
      <c r="C6" s="102" t="s">
        <v>130</v>
      </c>
      <c r="D6" s="102"/>
      <c r="E6" s="102"/>
      <c r="F6" s="102"/>
      <c r="G6" s="102"/>
      <c r="H6" s="102"/>
      <c r="I6" s="102"/>
    </row>
    <row r="7" spans="3:16" x14ac:dyDescent="0.35">
      <c r="E7" s="33"/>
    </row>
    <row r="8" spans="3:16" x14ac:dyDescent="0.35">
      <c r="E8" t="s">
        <v>143</v>
      </c>
      <c r="F8" s="98">
        <v>40</v>
      </c>
    </row>
    <row r="9" spans="3:16" ht="16" thickBot="1" x14ac:dyDescent="0.4">
      <c r="E9" t="s">
        <v>119</v>
      </c>
      <c r="F9" s="98">
        <v>1</v>
      </c>
    </row>
    <row r="10" spans="3:16" x14ac:dyDescent="0.35">
      <c r="C10" s="29" t="s">
        <v>140</v>
      </c>
      <c r="D10" s="85" t="s">
        <v>2</v>
      </c>
      <c r="E10" s="85" t="s">
        <v>3</v>
      </c>
      <c r="F10" s="85" t="s">
        <v>112</v>
      </c>
      <c r="G10" s="85" t="s">
        <v>137</v>
      </c>
      <c r="H10" s="86" t="s">
        <v>136</v>
      </c>
    </row>
    <row r="11" spans="3:16" x14ac:dyDescent="0.35">
      <c r="C11" s="22"/>
      <c r="D11" s="23"/>
      <c r="E11" s="23"/>
      <c r="F11" s="23"/>
      <c r="G11" s="23"/>
      <c r="H11" s="28"/>
    </row>
    <row r="12" spans="3:16" x14ac:dyDescent="0.35">
      <c r="C12" s="22" t="s">
        <v>15</v>
      </c>
      <c r="D12" s="23">
        <v>10</v>
      </c>
      <c r="E12" s="87" t="s">
        <v>135</v>
      </c>
      <c r="F12" s="23"/>
      <c r="G12" s="23"/>
      <c r="H12" s="28"/>
    </row>
    <row r="13" spans="3:16" x14ac:dyDescent="0.35">
      <c r="C13" s="22" t="s">
        <v>14</v>
      </c>
      <c r="D13" s="65">
        <v>1.5</v>
      </c>
      <c r="E13" s="87" t="s">
        <v>38</v>
      </c>
      <c r="F13" s="23"/>
      <c r="G13" s="23"/>
      <c r="H13" s="28"/>
    </row>
    <row r="14" spans="3:16" ht="16" thickBot="1" x14ac:dyDescent="0.4">
      <c r="C14" s="24" t="s">
        <v>16</v>
      </c>
      <c r="D14" s="27">
        <v>1350</v>
      </c>
      <c r="E14" s="25" t="s">
        <v>18</v>
      </c>
      <c r="F14" s="64">
        <f>D12*D13</f>
        <v>15</v>
      </c>
      <c r="G14" s="67">
        <f>D14*F14</f>
        <v>20250</v>
      </c>
      <c r="H14" s="62">
        <f>G14-G61</f>
        <v>7187.936270000002</v>
      </c>
    </row>
    <row r="15" spans="3:16" x14ac:dyDescent="0.35">
      <c r="I15" s="6"/>
      <c r="O15" s="23"/>
      <c r="P15" s="23"/>
    </row>
    <row r="16" spans="3:16" ht="16" thickBot="1" x14ac:dyDescent="0.4">
      <c r="I16" s="6"/>
      <c r="O16" s="23"/>
      <c r="P16" s="23"/>
    </row>
    <row r="17" spans="2:16" x14ac:dyDescent="0.35">
      <c r="C17" s="29" t="s">
        <v>139</v>
      </c>
      <c r="D17" s="85" t="s">
        <v>111</v>
      </c>
      <c r="E17" s="85" t="s">
        <v>3</v>
      </c>
      <c r="F17" s="85" t="s">
        <v>112</v>
      </c>
      <c r="G17" s="85" t="s">
        <v>103</v>
      </c>
      <c r="H17" s="88" t="s">
        <v>122</v>
      </c>
      <c r="I17" s="6"/>
      <c r="O17" s="23"/>
      <c r="P17" s="23"/>
    </row>
    <row r="18" spans="2:16" x14ac:dyDescent="0.35">
      <c r="C18" s="22"/>
      <c r="D18" s="23"/>
      <c r="E18" s="23"/>
      <c r="F18" s="23"/>
      <c r="G18" s="23"/>
      <c r="H18" s="28"/>
      <c r="I18" s="6"/>
      <c r="O18" s="23"/>
      <c r="P18" s="23"/>
    </row>
    <row r="19" spans="2:16" x14ac:dyDescent="0.35">
      <c r="C19" s="22" t="s">
        <v>15</v>
      </c>
      <c r="D19" s="31"/>
      <c r="E19" s="87" t="s">
        <v>135</v>
      </c>
      <c r="F19" s="23"/>
      <c r="G19" s="23"/>
      <c r="H19" s="28"/>
      <c r="I19" s="6"/>
      <c r="O19" s="23"/>
      <c r="P19" s="23"/>
    </row>
    <row r="20" spans="2:16" x14ac:dyDescent="0.35">
      <c r="C20" s="22" t="s">
        <v>14</v>
      </c>
      <c r="D20" s="31"/>
      <c r="E20" s="87" t="s">
        <v>38</v>
      </c>
      <c r="F20" s="23"/>
      <c r="G20" s="23"/>
      <c r="H20" s="28"/>
      <c r="I20" s="6"/>
      <c r="O20" s="23"/>
      <c r="P20" s="23"/>
    </row>
    <row r="21" spans="2:16" ht="16" thickBot="1" x14ac:dyDescent="0.4">
      <c r="C21" s="24" t="s">
        <v>16</v>
      </c>
      <c r="D21" s="31"/>
      <c r="E21" s="32" t="s">
        <v>18</v>
      </c>
      <c r="F21" s="35">
        <f>D20*D19</f>
        <v>0</v>
      </c>
      <c r="G21" s="67">
        <f>(F21*D21)*F9</f>
        <v>0</v>
      </c>
      <c r="H21" s="89">
        <f>G21-I61</f>
        <v>0</v>
      </c>
      <c r="I21" s="6"/>
      <c r="O21" s="23"/>
      <c r="P21" s="23"/>
    </row>
    <row r="22" spans="2:16" x14ac:dyDescent="0.35">
      <c r="I22" s="6"/>
      <c r="O22" s="23"/>
      <c r="P22" s="23"/>
    </row>
    <row r="25" spans="2:16" ht="16" thickBot="1" x14ac:dyDescent="0.4">
      <c r="C25" s="79" t="s">
        <v>7</v>
      </c>
      <c r="D25" s="80" t="s">
        <v>2</v>
      </c>
      <c r="E25" s="80" t="s">
        <v>3</v>
      </c>
      <c r="F25" s="80" t="s">
        <v>4</v>
      </c>
      <c r="G25" s="80" t="s">
        <v>5</v>
      </c>
      <c r="H25" s="80" t="s">
        <v>6</v>
      </c>
      <c r="I25" s="80" t="s">
        <v>134</v>
      </c>
    </row>
    <row r="26" spans="2:16" x14ac:dyDescent="0.35">
      <c r="C26" s="4"/>
      <c r="D26" s="4"/>
      <c r="E26" s="4"/>
      <c r="F26" s="4"/>
      <c r="G26" s="4"/>
      <c r="H26" s="4"/>
      <c r="I26" s="4"/>
    </row>
    <row r="27" spans="2:16" x14ac:dyDescent="0.35">
      <c r="B27" s="4" t="s">
        <v>1</v>
      </c>
      <c r="C27" s="4"/>
      <c r="D27" s="4"/>
      <c r="E27" s="4"/>
      <c r="F27" s="4"/>
      <c r="G27" s="4"/>
      <c r="H27" s="4"/>
      <c r="I27" s="4"/>
    </row>
    <row r="28" spans="2:16" x14ac:dyDescent="0.35">
      <c r="C28" t="s">
        <v>12</v>
      </c>
      <c r="D28">
        <v>1815</v>
      </c>
      <c r="E28" t="s">
        <v>13</v>
      </c>
      <c r="F28" s="68">
        <v>4</v>
      </c>
      <c r="G28" s="68">
        <f>D28*F28</f>
        <v>7260</v>
      </c>
      <c r="H28" s="69">
        <f>$F$9*G28</f>
        <v>7260</v>
      </c>
      <c r="I28" s="52"/>
    </row>
    <row r="29" spans="2:16" x14ac:dyDescent="0.35">
      <c r="C29" t="s">
        <v>17</v>
      </c>
      <c r="D29">
        <v>1</v>
      </c>
      <c r="E29" t="s">
        <v>35</v>
      </c>
      <c r="F29" s="68">
        <v>108</v>
      </c>
      <c r="G29" s="68">
        <f t="shared" ref="G29:G39" si="0">D29*F29</f>
        <v>108</v>
      </c>
      <c r="H29" s="69">
        <f t="shared" ref="H29:H40" si="1">$F$9*G29</f>
        <v>108</v>
      </c>
      <c r="I29" s="52"/>
    </row>
    <row r="30" spans="2:16" x14ac:dyDescent="0.35">
      <c r="C30" s="5" t="s">
        <v>34</v>
      </c>
      <c r="D30">
        <v>1000</v>
      </c>
      <c r="E30" t="s">
        <v>18</v>
      </c>
      <c r="F30" s="68">
        <v>0.17499999999999999</v>
      </c>
      <c r="G30" s="68">
        <f t="shared" si="0"/>
        <v>175</v>
      </c>
      <c r="H30" s="69">
        <f t="shared" si="1"/>
        <v>175</v>
      </c>
      <c r="I30" s="52"/>
    </row>
    <row r="31" spans="2:16" x14ac:dyDescent="0.35">
      <c r="C31" t="s">
        <v>33</v>
      </c>
      <c r="D31">
        <v>60</v>
      </c>
      <c r="E31" t="s">
        <v>18</v>
      </c>
      <c r="F31" s="68">
        <v>8.5000000000000006E-2</v>
      </c>
      <c r="G31" s="68">
        <f t="shared" si="0"/>
        <v>5.1000000000000005</v>
      </c>
      <c r="H31" s="69">
        <f t="shared" si="1"/>
        <v>5.1000000000000005</v>
      </c>
      <c r="I31" s="52"/>
    </row>
    <row r="32" spans="2:16" x14ac:dyDescent="0.35">
      <c r="C32" t="s">
        <v>8</v>
      </c>
      <c r="D32">
        <v>1</v>
      </c>
      <c r="E32" t="s">
        <v>37</v>
      </c>
      <c r="F32" s="68">
        <v>15</v>
      </c>
      <c r="G32" s="68">
        <f t="shared" si="0"/>
        <v>15</v>
      </c>
      <c r="H32" s="69">
        <f t="shared" si="1"/>
        <v>15</v>
      </c>
      <c r="I32" s="52"/>
    </row>
    <row r="33" spans="2:9" x14ac:dyDescent="0.35">
      <c r="C33" s="3" t="s">
        <v>22</v>
      </c>
      <c r="D33">
        <v>2.85</v>
      </c>
      <c r="E33" t="s">
        <v>23</v>
      </c>
      <c r="F33" s="68">
        <v>100</v>
      </c>
      <c r="G33" s="68">
        <f t="shared" si="0"/>
        <v>285</v>
      </c>
      <c r="H33" s="69">
        <f t="shared" si="1"/>
        <v>285</v>
      </c>
      <c r="I33" s="52"/>
    </row>
    <row r="34" spans="2:9" x14ac:dyDescent="0.35">
      <c r="C34" t="s">
        <v>24</v>
      </c>
      <c r="D34">
        <v>5</v>
      </c>
      <c r="E34" t="s">
        <v>28</v>
      </c>
      <c r="F34" s="68">
        <v>11.13</v>
      </c>
      <c r="G34" s="68">
        <f t="shared" si="0"/>
        <v>55.650000000000006</v>
      </c>
      <c r="H34" s="69">
        <f t="shared" si="1"/>
        <v>55.650000000000006</v>
      </c>
      <c r="I34" s="52"/>
    </row>
    <row r="35" spans="2:9" x14ac:dyDescent="0.35">
      <c r="C35" t="s">
        <v>25</v>
      </c>
      <c r="D35">
        <v>50</v>
      </c>
      <c r="E35" t="s">
        <v>28</v>
      </c>
      <c r="F35" s="68">
        <v>11.13</v>
      </c>
      <c r="G35" s="68">
        <f t="shared" si="0"/>
        <v>556.5</v>
      </c>
      <c r="H35" s="69">
        <f t="shared" si="1"/>
        <v>556.5</v>
      </c>
      <c r="I35" s="52"/>
    </row>
    <row r="36" spans="2:9" x14ac:dyDescent="0.35">
      <c r="C36" t="s">
        <v>9</v>
      </c>
      <c r="D36">
        <v>1</v>
      </c>
      <c r="E36" t="s">
        <v>29</v>
      </c>
      <c r="F36" s="68">
        <f>Irrigation!H40</f>
        <v>76.38</v>
      </c>
      <c r="G36" s="68">
        <f t="shared" si="0"/>
        <v>76.38</v>
      </c>
      <c r="H36" s="69">
        <f t="shared" si="1"/>
        <v>76.38</v>
      </c>
      <c r="I36" s="52"/>
    </row>
    <row r="37" spans="2:9" x14ac:dyDescent="0.35">
      <c r="C37" t="s">
        <v>20</v>
      </c>
      <c r="D37">
        <v>1</v>
      </c>
      <c r="E37" t="s">
        <v>30</v>
      </c>
      <c r="F37" s="68">
        <v>50</v>
      </c>
      <c r="G37" s="68">
        <f t="shared" si="0"/>
        <v>50</v>
      </c>
      <c r="H37" s="69">
        <f t="shared" si="1"/>
        <v>50</v>
      </c>
      <c r="I37" s="52"/>
    </row>
    <row r="38" spans="2:9" x14ac:dyDescent="0.35">
      <c r="C38" t="s">
        <v>32</v>
      </c>
      <c r="D38">
        <v>1</v>
      </c>
      <c r="E38" t="s">
        <v>29</v>
      </c>
      <c r="F38" s="68">
        <v>25.76</v>
      </c>
      <c r="G38" s="68">
        <f t="shared" si="0"/>
        <v>25.76</v>
      </c>
      <c r="H38" s="69">
        <f t="shared" si="1"/>
        <v>25.76</v>
      </c>
      <c r="I38" s="52"/>
    </row>
    <row r="39" spans="2:9" x14ac:dyDescent="0.35">
      <c r="C39" t="s">
        <v>10</v>
      </c>
      <c r="D39">
        <v>0</v>
      </c>
      <c r="E39" t="s">
        <v>29</v>
      </c>
      <c r="F39" s="68">
        <v>0</v>
      </c>
      <c r="G39" s="68">
        <f t="shared" si="0"/>
        <v>0</v>
      </c>
      <c r="H39" s="69">
        <f t="shared" si="1"/>
        <v>0</v>
      </c>
      <c r="I39" s="52"/>
    </row>
    <row r="40" spans="2:9" x14ac:dyDescent="0.35">
      <c r="C40" t="s">
        <v>11</v>
      </c>
      <c r="D40" s="1">
        <f>SUM(G28:G39)</f>
        <v>8612.39</v>
      </c>
      <c r="E40" t="s">
        <v>38</v>
      </c>
      <c r="F40" s="99">
        <v>0.06</v>
      </c>
      <c r="G40" s="68">
        <f>D40*F40</f>
        <v>516.74339999999995</v>
      </c>
      <c r="H40" s="69">
        <f t="shared" si="1"/>
        <v>516.74339999999995</v>
      </c>
      <c r="I40" s="52"/>
    </row>
    <row r="41" spans="2:9" ht="16" thickBot="1" x14ac:dyDescent="0.4">
      <c r="B41" s="4" t="s">
        <v>116</v>
      </c>
      <c r="F41" s="68"/>
      <c r="G41" s="70">
        <f>SUM(G28:G40)</f>
        <v>9129.1333999999988</v>
      </c>
      <c r="H41" s="70">
        <f>SUM(H28:H40)</f>
        <v>9129.1333999999988</v>
      </c>
      <c r="I41" s="90">
        <f>SUM(I28:I40)</f>
        <v>0</v>
      </c>
    </row>
    <row r="42" spans="2:9" ht="16" thickTop="1" x14ac:dyDescent="0.35">
      <c r="F42" s="68"/>
      <c r="G42" s="68"/>
      <c r="H42" s="69"/>
      <c r="I42" s="77"/>
    </row>
    <row r="43" spans="2:9" x14ac:dyDescent="0.35">
      <c r="B43" s="4" t="s">
        <v>138</v>
      </c>
      <c r="F43" s="68"/>
      <c r="G43" s="68"/>
      <c r="H43" s="69"/>
      <c r="I43" s="77"/>
    </row>
    <row r="44" spans="2:9" x14ac:dyDescent="0.35">
      <c r="C44" t="s">
        <v>27</v>
      </c>
      <c r="D44">
        <v>1</v>
      </c>
      <c r="E44" t="s">
        <v>19</v>
      </c>
      <c r="F44" s="68">
        <v>150</v>
      </c>
      <c r="G44" s="68">
        <f>D44*F44</f>
        <v>150</v>
      </c>
      <c r="H44" s="69">
        <f>$F$9*G44</f>
        <v>150</v>
      </c>
      <c r="I44" s="52"/>
    </row>
    <row r="45" spans="2:9" x14ac:dyDescent="0.35">
      <c r="C45" t="s">
        <v>114</v>
      </c>
      <c r="D45">
        <v>40</v>
      </c>
      <c r="E45" t="s">
        <v>36</v>
      </c>
      <c r="F45" s="68">
        <v>11.13</v>
      </c>
      <c r="G45" s="68">
        <f t="shared" ref="G45:G49" si="2">D45*F45</f>
        <v>445.20000000000005</v>
      </c>
      <c r="H45" s="69">
        <f t="shared" ref="H45:H49" si="3">$F$9*G45</f>
        <v>445.20000000000005</v>
      </c>
      <c r="I45" s="52"/>
    </row>
    <row r="46" spans="2:9" x14ac:dyDescent="0.35">
      <c r="C46" t="s">
        <v>115</v>
      </c>
      <c r="D46">
        <v>90</v>
      </c>
      <c r="E46" t="s">
        <v>36</v>
      </c>
      <c r="F46" s="68">
        <v>11.13</v>
      </c>
      <c r="G46" s="68">
        <f t="shared" si="2"/>
        <v>1001.7</v>
      </c>
      <c r="H46" s="69">
        <f t="shared" si="3"/>
        <v>1001.7</v>
      </c>
      <c r="I46" s="52"/>
    </row>
    <row r="47" spans="2:9" x14ac:dyDescent="0.35">
      <c r="C47" t="s">
        <v>26</v>
      </c>
      <c r="D47">
        <v>1</v>
      </c>
      <c r="E47" t="s">
        <v>21</v>
      </c>
      <c r="F47" s="68">
        <v>100</v>
      </c>
      <c r="G47" s="68">
        <f t="shared" si="2"/>
        <v>100</v>
      </c>
      <c r="H47" s="69">
        <f t="shared" si="3"/>
        <v>100</v>
      </c>
      <c r="I47" s="52"/>
    </row>
    <row r="48" spans="2:9" x14ac:dyDescent="0.35">
      <c r="C48" t="s">
        <v>123</v>
      </c>
      <c r="D48">
        <v>2</v>
      </c>
      <c r="E48" t="s">
        <v>124</v>
      </c>
      <c r="F48" s="68">
        <v>0.2</v>
      </c>
      <c r="G48" s="68">
        <f t="shared" si="2"/>
        <v>0.4</v>
      </c>
      <c r="H48" s="69">
        <f t="shared" si="3"/>
        <v>0.4</v>
      </c>
      <c r="I48" s="52"/>
    </row>
    <row r="49" spans="2:9" x14ac:dyDescent="0.35">
      <c r="C49" t="s">
        <v>39</v>
      </c>
      <c r="D49">
        <v>5</v>
      </c>
      <c r="E49" t="s">
        <v>40</v>
      </c>
      <c r="F49" s="68">
        <v>35</v>
      </c>
      <c r="G49" s="68">
        <f t="shared" si="2"/>
        <v>175</v>
      </c>
      <c r="H49" s="69">
        <f t="shared" si="3"/>
        <v>175</v>
      </c>
      <c r="I49" s="52"/>
    </row>
    <row r="50" spans="2:9" ht="16" thickBot="1" x14ac:dyDescent="0.4">
      <c r="B50" s="4" t="s">
        <v>117</v>
      </c>
      <c r="F50" s="68"/>
      <c r="G50" s="70">
        <f>SUM(G44:G49)</f>
        <v>1872.3000000000002</v>
      </c>
      <c r="H50" s="71">
        <f>SUM(H44:H49)</f>
        <v>1872.3000000000002</v>
      </c>
      <c r="I50" s="90">
        <f>SUM(I44:I49)</f>
        <v>0</v>
      </c>
    </row>
    <row r="51" spans="2:9" ht="16" thickTop="1" x14ac:dyDescent="0.35">
      <c r="F51" s="68"/>
      <c r="G51" s="68"/>
      <c r="H51" s="69"/>
      <c r="I51" s="78"/>
    </row>
    <row r="52" spans="2:9" ht="16" thickBot="1" x14ac:dyDescent="0.4">
      <c r="B52" s="4" t="s">
        <v>41</v>
      </c>
      <c r="F52" s="68"/>
      <c r="G52" s="70">
        <f>SUM(G41,G50)</f>
        <v>11001.433399999998</v>
      </c>
      <c r="H52" s="71">
        <f>SUM(H41,H50)</f>
        <v>11001.433399999998</v>
      </c>
      <c r="I52" s="90">
        <f>I41+I50</f>
        <v>0</v>
      </c>
    </row>
    <row r="53" spans="2:9" ht="16" thickTop="1" x14ac:dyDescent="0.35">
      <c r="F53" s="68"/>
      <c r="G53" s="68"/>
      <c r="H53" s="69"/>
      <c r="I53" s="77"/>
    </row>
    <row r="54" spans="2:9" x14ac:dyDescent="0.35">
      <c r="B54" s="4" t="s">
        <v>99</v>
      </c>
      <c r="F54" s="100"/>
      <c r="G54" s="68"/>
      <c r="H54" s="69"/>
      <c r="I54" s="77"/>
    </row>
    <row r="55" spans="2:9" x14ac:dyDescent="0.35">
      <c r="C55" t="s">
        <v>31</v>
      </c>
      <c r="D55">
        <v>1</v>
      </c>
      <c r="E55" t="s">
        <v>19</v>
      </c>
      <c r="F55" s="68">
        <f>Fixed_Cost!H29</f>
        <v>164.88031999999998</v>
      </c>
      <c r="G55" s="68">
        <f>D55*F55</f>
        <v>164.88031999999998</v>
      </c>
      <c r="H55" s="69">
        <f>$F$9*G55</f>
        <v>164.88031999999998</v>
      </c>
      <c r="I55" s="52"/>
    </row>
    <row r="56" spans="2:9" x14ac:dyDescent="0.35">
      <c r="C56" t="s">
        <v>9</v>
      </c>
      <c r="D56">
        <v>1</v>
      </c>
      <c r="E56" t="s">
        <v>19</v>
      </c>
      <c r="F56" s="68">
        <f>Irrigation!H40</f>
        <v>76.38</v>
      </c>
      <c r="G56" s="68">
        <f t="shared" ref="G56:G57" si="4">D56*F56</f>
        <v>76.38</v>
      </c>
      <c r="H56" s="69">
        <f t="shared" ref="H56:H58" si="5">$F$9*G56</f>
        <v>76.38</v>
      </c>
      <c r="I56" s="52"/>
    </row>
    <row r="57" spans="2:9" x14ac:dyDescent="0.35">
      <c r="C57" t="s">
        <v>120</v>
      </c>
      <c r="D57">
        <v>1</v>
      </c>
      <c r="E57" t="s">
        <v>19</v>
      </c>
      <c r="F57" s="68">
        <v>450</v>
      </c>
      <c r="G57" s="68">
        <f t="shared" si="4"/>
        <v>450</v>
      </c>
      <c r="H57" s="69">
        <f t="shared" si="5"/>
        <v>450</v>
      </c>
      <c r="I57" s="52"/>
    </row>
    <row r="58" spans="2:9" x14ac:dyDescent="0.35">
      <c r="C58" t="s">
        <v>100</v>
      </c>
      <c r="D58" s="6">
        <f>G41</f>
        <v>9129.1333999999988</v>
      </c>
      <c r="E58" t="s">
        <v>38</v>
      </c>
      <c r="F58" s="99">
        <v>0.15</v>
      </c>
      <c r="G58" s="68">
        <f>D58*F58</f>
        <v>1369.3700099999999</v>
      </c>
      <c r="H58" s="69">
        <f t="shared" si="5"/>
        <v>1369.3700099999999</v>
      </c>
      <c r="I58" s="52"/>
    </row>
    <row r="59" spans="2:9" ht="16" thickBot="1" x14ac:dyDescent="0.4">
      <c r="B59" s="4" t="s">
        <v>101</v>
      </c>
      <c r="F59" s="68"/>
      <c r="G59" s="70">
        <f>SUM(G55:G58)</f>
        <v>2060.63033</v>
      </c>
      <c r="H59" s="71">
        <f>SUM(H55:H58)</f>
        <v>2060.63033</v>
      </c>
      <c r="I59" s="90"/>
    </row>
    <row r="60" spans="2:9" ht="16" thickTop="1" x14ac:dyDescent="0.35">
      <c r="F60" s="68"/>
      <c r="G60" s="68"/>
      <c r="H60" s="69"/>
      <c r="I60" s="78"/>
    </row>
    <row r="61" spans="2:9" ht="16" thickBot="1" x14ac:dyDescent="0.4">
      <c r="B61" s="4" t="s">
        <v>102</v>
      </c>
      <c r="F61" s="68"/>
      <c r="G61" s="70">
        <f>SUM(G52,G59)</f>
        <v>13062.063729999998</v>
      </c>
      <c r="H61" s="71">
        <f>SUM(H59,H52)</f>
        <v>13062.063729999998</v>
      </c>
      <c r="I61" s="90">
        <f>SUM(I59+I52)</f>
        <v>0</v>
      </c>
    </row>
    <row r="62" spans="2:9" ht="16" thickTop="1" x14ac:dyDescent="0.35">
      <c r="I62" s="77"/>
    </row>
    <row r="63" spans="2:9" x14ac:dyDescent="0.35">
      <c r="I63" s="77"/>
    </row>
    <row r="64" spans="2:9" x14ac:dyDescent="0.35">
      <c r="B64" s="4" t="s">
        <v>131</v>
      </c>
      <c r="I64" s="77"/>
    </row>
    <row r="65" spans="2:9" x14ac:dyDescent="0.35">
      <c r="B65" s="4"/>
      <c r="I65" s="77"/>
    </row>
    <row r="66" spans="2:9" x14ac:dyDescent="0.35">
      <c r="B66" s="82" t="s">
        <v>132</v>
      </c>
      <c r="C66" s="26"/>
      <c r="D66" s="26" t="s">
        <v>110</v>
      </c>
      <c r="E66" s="26"/>
      <c r="F66" s="84" t="str">
        <f>"Breakeven CBD% price for "&amp;D14&amp;" lbs"</f>
        <v>Breakeven CBD% price for 1350 lbs</v>
      </c>
      <c r="G66" s="83"/>
    </row>
    <row r="67" spans="2:9" x14ac:dyDescent="0.35">
      <c r="B67" s="34">
        <f>D13*D12</f>
        <v>15</v>
      </c>
      <c r="C67" s="25"/>
      <c r="D67" s="101">
        <f>G61/B67</f>
        <v>870.80424866666658</v>
      </c>
      <c r="E67" s="25" t="s">
        <v>18</v>
      </c>
      <c r="F67" s="35">
        <f>G61/(D12*D14)</f>
        <v>0.96756027629629615</v>
      </c>
      <c r="G67" s="30"/>
    </row>
    <row r="69" spans="2:9" ht="34.5" customHeight="1" x14ac:dyDescent="0.35">
      <c r="B69" s="104" t="s">
        <v>142</v>
      </c>
      <c r="C69" s="105"/>
      <c r="D69" s="105"/>
      <c r="E69" s="105"/>
      <c r="F69" s="105"/>
      <c r="G69" s="105"/>
    </row>
    <row r="70" spans="2:9" x14ac:dyDescent="0.35">
      <c r="B70" s="4"/>
    </row>
    <row r="71" spans="2:9" x14ac:dyDescent="0.35">
      <c r="B71" s="29" t="s">
        <v>104</v>
      </c>
      <c r="C71" s="26"/>
      <c r="D71" s="81" t="s">
        <v>127</v>
      </c>
      <c r="E71" s="53">
        <f>D12</f>
        <v>10</v>
      </c>
      <c r="F71" s="81" t="s">
        <v>125</v>
      </c>
      <c r="G71" s="54">
        <f>D14</f>
        <v>1350</v>
      </c>
    </row>
    <row r="72" spans="2:9" x14ac:dyDescent="0.35">
      <c r="B72" s="73" t="s">
        <v>141</v>
      </c>
      <c r="C72" s="91" t="s">
        <v>14</v>
      </c>
      <c r="D72" s="91"/>
      <c r="E72" s="91" t="s">
        <v>103</v>
      </c>
      <c r="F72" s="91"/>
      <c r="G72" s="92" t="s">
        <v>113</v>
      </c>
    </row>
    <row r="73" spans="2:9" x14ac:dyDescent="0.35">
      <c r="B73" s="72">
        <v>0.5</v>
      </c>
      <c r="C73" s="65">
        <f>C75+(C75*B73)</f>
        <v>2.25</v>
      </c>
      <c r="D73" s="23"/>
      <c r="E73" s="63">
        <f>($D$12*C73)*$D$14</f>
        <v>30375</v>
      </c>
      <c r="F73" s="63"/>
      <c r="G73" s="60">
        <f>E73-$G$61</f>
        <v>17312.936270000002</v>
      </c>
    </row>
    <row r="74" spans="2:9" x14ac:dyDescent="0.35">
      <c r="B74" s="72">
        <v>0.25</v>
      </c>
      <c r="C74" s="65">
        <f>C75+(C75*B74)</f>
        <v>1.875</v>
      </c>
      <c r="D74" s="23"/>
      <c r="E74" s="63">
        <f>($D$12*C74)*$D$14</f>
        <v>25312.5</v>
      </c>
      <c r="F74" s="63"/>
      <c r="G74" s="60">
        <f>E74-$G$61</f>
        <v>12250.436270000002</v>
      </c>
    </row>
    <row r="75" spans="2:9" x14ac:dyDescent="0.35">
      <c r="B75" s="73" t="s">
        <v>133</v>
      </c>
      <c r="C75" s="65">
        <f>D13</f>
        <v>1.5</v>
      </c>
      <c r="D75" s="23"/>
      <c r="E75" s="63">
        <f>($D$12*C75)*$D$14</f>
        <v>20250</v>
      </c>
      <c r="F75" s="63"/>
      <c r="G75" s="60">
        <f>E75-$G$61</f>
        <v>7187.936270000002</v>
      </c>
    </row>
    <row r="76" spans="2:9" x14ac:dyDescent="0.35">
      <c r="B76" s="72">
        <v>-0.25</v>
      </c>
      <c r="C76" s="65">
        <f>C75+(C75*B76)</f>
        <v>1.125</v>
      </c>
      <c r="D76" s="23"/>
      <c r="E76" s="63">
        <f>($D$12*C76)*$D$14</f>
        <v>15187.5</v>
      </c>
      <c r="F76" s="63"/>
      <c r="G76" s="60">
        <f>E76-$G$61</f>
        <v>2125.436270000002</v>
      </c>
    </row>
    <row r="77" spans="2:9" x14ac:dyDescent="0.35">
      <c r="B77" s="74">
        <v>-0.5</v>
      </c>
      <c r="C77" s="66">
        <f>C75+(C75*B77)</f>
        <v>0.75</v>
      </c>
      <c r="D77" s="25"/>
      <c r="E77" s="64">
        <f>($D$12*C77)*$D$14</f>
        <v>10125</v>
      </c>
      <c r="F77" s="64"/>
      <c r="G77" s="61">
        <f>E77-$G$61</f>
        <v>-2937.063729999998</v>
      </c>
    </row>
    <row r="79" spans="2:9" x14ac:dyDescent="0.35">
      <c r="B79" s="29" t="s">
        <v>105</v>
      </c>
      <c r="C79" s="26"/>
      <c r="D79" s="81" t="s">
        <v>128</v>
      </c>
      <c r="E79" s="56">
        <f>D13</f>
        <v>1.5</v>
      </c>
      <c r="F79" s="81" t="s">
        <v>125</v>
      </c>
      <c r="G79" s="54">
        <f>D14</f>
        <v>1350</v>
      </c>
    </row>
    <row r="80" spans="2:9" x14ac:dyDescent="0.35">
      <c r="B80" s="73" t="s">
        <v>141</v>
      </c>
      <c r="C80" s="91" t="s">
        <v>107</v>
      </c>
      <c r="D80" s="91"/>
      <c r="E80" s="91" t="s">
        <v>103</v>
      </c>
      <c r="F80" s="91"/>
      <c r="G80" s="92" t="s">
        <v>113</v>
      </c>
    </row>
    <row r="81" spans="2:7" x14ac:dyDescent="0.35">
      <c r="B81" s="72">
        <v>0.5</v>
      </c>
      <c r="C81" s="75">
        <f>C83+(C83*B81)</f>
        <v>15</v>
      </c>
      <c r="D81" s="23"/>
      <c r="E81" s="63">
        <f>(C81*$D$13)*$D$14</f>
        <v>30375</v>
      </c>
      <c r="F81" s="63"/>
      <c r="G81" s="60">
        <f>E81-$G$61</f>
        <v>17312.936270000002</v>
      </c>
    </row>
    <row r="82" spans="2:7" x14ac:dyDescent="0.35">
      <c r="B82" s="72">
        <v>0.25</v>
      </c>
      <c r="C82" s="75">
        <f>C83+(C83*B82)</f>
        <v>12.5</v>
      </c>
      <c r="D82" s="23"/>
      <c r="E82" s="63">
        <f>(C82*$D$13)*$D$14</f>
        <v>25312.5</v>
      </c>
      <c r="F82" s="63"/>
      <c r="G82" s="60">
        <f>E82-$G$61</f>
        <v>12250.436270000002</v>
      </c>
    </row>
    <row r="83" spans="2:7" x14ac:dyDescent="0.35">
      <c r="B83" s="73" t="s">
        <v>133</v>
      </c>
      <c r="C83" s="75">
        <f>D12</f>
        <v>10</v>
      </c>
      <c r="D83" s="23"/>
      <c r="E83" s="63">
        <f>(C83*$D$13)*$D$14</f>
        <v>20250</v>
      </c>
      <c r="F83" s="63"/>
      <c r="G83" s="60">
        <f>E83-$G$61</f>
        <v>7187.936270000002</v>
      </c>
    </row>
    <row r="84" spans="2:7" x14ac:dyDescent="0.35">
      <c r="B84" s="72">
        <v>-0.25</v>
      </c>
      <c r="C84" s="75">
        <f>C83+(C83*B84)</f>
        <v>7.5</v>
      </c>
      <c r="D84" s="23"/>
      <c r="E84" s="63">
        <f>(C84*$D$13)*$D$14</f>
        <v>15187.5</v>
      </c>
      <c r="F84" s="63"/>
      <c r="G84" s="60">
        <f>E84-$G$61</f>
        <v>2125.436270000002</v>
      </c>
    </row>
    <row r="85" spans="2:7" x14ac:dyDescent="0.35">
      <c r="B85" s="74">
        <v>-0.5</v>
      </c>
      <c r="C85" s="76">
        <f>C83+(C83*B85)</f>
        <v>5</v>
      </c>
      <c r="D85" s="25"/>
      <c r="E85" s="64">
        <f>(C85*$D$13)*$D$14</f>
        <v>10125</v>
      </c>
      <c r="F85" s="64"/>
      <c r="G85" s="61">
        <f>E85-$G$61</f>
        <v>-2937.063729999998</v>
      </c>
    </row>
    <row r="87" spans="2:7" x14ac:dyDescent="0.35">
      <c r="B87" s="29" t="s">
        <v>106</v>
      </c>
      <c r="C87" s="26"/>
      <c r="D87" s="81" t="s">
        <v>127</v>
      </c>
      <c r="E87" s="53">
        <f>D12</f>
        <v>10</v>
      </c>
      <c r="F87" s="81" t="s">
        <v>128</v>
      </c>
      <c r="G87" s="57">
        <f>D13</f>
        <v>1.5</v>
      </c>
    </row>
    <row r="88" spans="2:7" x14ac:dyDescent="0.35">
      <c r="B88" s="73" t="s">
        <v>141</v>
      </c>
      <c r="C88" s="91" t="s">
        <v>108</v>
      </c>
      <c r="D88" s="91"/>
      <c r="E88" s="91" t="s">
        <v>103</v>
      </c>
      <c r="F88" s="91"/>
      <c r="G88" s="92" t="s">
        <v>113</v>
      </c>
    </row>
    <row r="89" spans="2:7" x14ac:dyDescent="0.35">
      <c r="B89" s="72">
        <v>0.5</v>
      </c>
      <c r="C89" s="75">
        <f>C91+(C91*B89)</f>
        <v>2025</v>
      </c>
      <c r="D89" s="23"/>
      <c r="E89" s="63">
        <f>($D$12*$D$13)*C89</f>
        <v>30375</v>
      </c>
      <c r="F89" s="63"/>
      <c r="G89" s="60">
        <f>E89-$G$61</f>
        <v>17312.936270000002</v>
      </c>
    </row>
    <row r="90" spans="2:7" x14ac:dyDescent="0.35">
      <c r="B90" s="72">
        <v>0.25</v>
      </c>
      <c r="C90" s="75">
        <f>C91+(C91*B90)</f>
        <v>1687.5</v>
      </c>
      <c r="D90" s="23"/>
      <c r="E90" s="63">
        <f>($D$12*$D$13)*C90</f>
        <v>25312.5</v>
      </c>
      <c r="F90" s="63"/>
      <c r="G90" s="60">
        <f>E90-$G$61</f>
        <v>12250.436270000002</v>
      </c>
    </row>
    <row r="91" spans="2:7" x14ac:dyDescent="0.35">
      <c r="B91" s="73" t="s">
        <v>133</v>
      </c>
      <c r="C91" s="75">
        <f>D14</f>
        <v>1350</v>
      </c>
      <c r="D91" s="23"/>
      <c r="E91" s="63">
        <f>($D$12*$D$13)*C91</f>
        <v>20250</v>
      </c>
      <c r="F91" s="63"/>
      <c r="G91" s="60">
        <f>E91-$G$61</f>
        <v>7187.936270000002</v>
      </c>
    </row>
    <row r="92" spans="2:7" x14ac:dyDescent="0.35">
      <c r="B92" s="72">
        <v>-0.25</v>
      </c>
      <c r="C92" s="75">
        <f>C91+(C91*B92)</f>
        <v>1012.5</v>
      </c>
      <c r="D92" s="23"/>
      <c r="E92" s="63">
        <f>($D$12*$D$13)*C92</f>
        <v>15187.5</v>
      </c>
      <c r="F92" s="63"/>
      <c r="G92" s="60">
        <f>E92-$G$61</f>
        <v>2125.436270000002</v>
      </c>
    </row>
    <row r="93" spans="2:7" x14ac:dyDescent="0.35">
      <c r="B93" s="74">
        <v>-0.5</v>
      </c>
      <c r="C93" s="76">
        <f>C91+(C91*B93)</f>
        <v>675</v>
      </c>
      <c r="D93" s="25"/>
      <c r="E93" s="64">
        <f>($D$12*$D$13)*C93</f>
        <v>10125</v>
      </c>
      <c r="F93" s="64"/>
      <c r="G93" s="61">
        <f>E93-$G$61</f>
        <v>-2937.063729999998</v>
      </c>
    </row>
  </sheetData>
  <mergeCells count="5">
    <mergeCell ref="C6:I6"/>
    <mergeCell ref="C4:I4"/>
    <mergeCell ref="C3:I3"/>
    <mergeCell ref="C2:I2"/>
    <mergeCell ref="B69:G69"/>
  </mergeCells>
  <pageMargins left="0.7" right="0.7" top="0.75" bottom="0.75" header="0.3" footer="0.3"/>
  <pageSetup scale="55" orientation="portrait" horizontalDpi="4294967295" verticalDpi="4294967295" r:id="rId1"/>
  <rowBreaks count="1" manualBreakCount="1">
    <brk id="61" min="1" max="15" man="1"/>
  </rowBreaks>
  <colBreaks count="1" manualBreakCount="1">
    <brk id="9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41"/>
  <sheetViews>
    <sheetView zoomScaleNormal="100" workbookViewId="0">
      <selection activeCell="F6" sqref="F6"/>
    </sheetView>
  </sheetViews>
  <sheetFormatPr defaultColWidth="11.25" defaultRowHeight="15.5" x14ac:dyDescent="0.35"/>
  <cols>
    <col min="4" max="4" width="20.08203125" customWidth="1"/>
    <col min="6" max="6" width="10.5" bestFit="1" customWidth="1"/>
    <col min="7" max="7" width="11.58203125" bestFit="1" customWidth="1"/>
    <col min="8" max="8" width="14.83203125" bestFit="1" customWidth="1"/>
  </cols>
  <sheetData>
    <row r="2" spans="2:8" x14ac:dyDescent="0.35">
      <c r="B2" s="8"/>
      <c r="C2" s="12"/>
      <c r="D2" s="8"/>
      <c r="E2" s="8"/>
      <c r="F2" s="8"/>
      <c r="G2" s="8"/>
      <c r="H2" s="8"/>
    </row>
    <row r="3" spans="2:8" x14ac:dyDescent="0.35">
      <c r="B3" s="43" t="s">
        <v>109</v>
      </c>
      <c r="C3" s="13"/>
      <c r="D3" s="42"/>
      <c r="E3" s="13"/>
      <c r="F3" s="13"/>
      <c r="G3" s="13"/>
      <c r="H3" s="8"/>
    </row>
    <row r="4" spans="2:8" x14ac:dyDescent="0.35">
      <c r="B4" s="8"/>
      <c r="C4" s="8"/>
      <c r="D4" s="8"/>
      <c r="E4" s="8"/>
      <c r="F4" s="8"/>
      <c r="G4" s="8"/>
      <c r="H4" s="8"/>
    </row>
    <row r="5" spans="2:8" x14ac:dyDescent="0.35">
      <c r="B5" s="8"/>
      <c r="C5" s="8" t="s">
        <v>55</v>
      </c>
      <c r="D5" s="8"/>
      <c r="E5" s="8"/>
      <c r="F5" s="7">
        <f>+Main!F8</f>
        <v>40</v>
      </c>
      <c r="G5" s="8"/>
      <c r="H5" s="8"/>
    </row>
    <row r="6" spans="2:8" x14ac:dyDescent="0.35">
      <c r="B6" s="8"/>
      <c r="C6" s="8" t="s">
        <v>56</v>
      </c>
      <c r="D6" s="8"/>
      <c r="E6" s="8"/>
      <c r="F6" s="93">
        <v>6.5000000000000002E-2</v>
      </c>
      <c r="G6" s="8"/>
      <c r="H6" s="8"/>
    </row>
    <row r="7" spans="2:8" x14ac:dyDescent="0.35">
      <c r="B7" s="8"/>
      <c r="C7" s="7" t="s">
        <v>57</v>
      </c>
      <c r="D7" s="8"/>
      <c r="E7" s="8"/>
      <c r="F7" s="7">
        <v>4</v>
      </c>
      <c r="G7" s="8"/>
      <c r="H7" s="8"/>
    </row>
    <row r="8" spans="2:8" x14ac:dyDescent="0.35">
      <c r="B8" s="8"/>
      <c r="C8" s="7" t="s">
        <v>58</v>
      </c>
      <c r="D8" s="8"/>
      <c r="E8" s="8"/>
      <c r="F8" s="7">
        <v>0.02</v>
      </c>
      <c r="G8" s="8"/>
      <c r="H8" s="8"/>
    </row>
    <row r="9" spans="2:8" x14ac:dyDescent="0.35">
      <c r="B9" s="8"/>
      <c r="C9" s="8"/>
      <c r="D9" s="8"/>
      <c r="E9" s="8"/>
      <c r="F9" s="14"/>
      <c r="G9" s="8"/>
      <c r="H9" s="8"/>
    </row>
    <row r="10" spans="2:8" x14ac:dyDescent="0.35">
      <c r="B10" s="8"/>
      <c r="C10" s="8"/>
      <c r="D10" s="8"/>
      <c r="E10" s="8"/>
      <c r="F10" s="8"/>
      <c r="G10" s="8"/>
      <c r="H10" s="8"/>
    </row>
    <row r="11" spans="2:8" x14ac:dyDescent="0.35">
      <c r="B11" s="8"/>
      <c r="C11" s="8"/>
      <c r="D11" s="40" t="s">
        <v>50</v>
      </c>
      <c r="E11" s="40" t="s">
        <v>51</v>
      </c>
      <c r="F11" s="40" t="s">
        <v>52</v>
      </c>
      <c r="G11" s="40" t="s">
        <v>53</v>
      </c>
      <c r="H11" s="41" t="s">
        <v>54</v>
      </c>
    </row>
    <row r="12" spans="2:8" x14ac:dyDescent="0.35">
      <c r="B12" s="7" t="s">
        <v>42</v>
      </c>
      <c r="C12" s="8"/>
      <c r="D12" s="15">
        <v>6000</v>
      </c>
      <c r="E12" s="15">
        <v>20</v>
      </c>
      <c r="F12" s="16">
        <f>D12/E12</f>
        <v>300</v>
      </c>
      <c r="G12" s="16">
        <f>(D12/2)*F6</f>
        <v>195</v>
      </c>
      <c r="H12" s="19">
        <f t="shared" ref="H12:H19" si="0">(D12/2)*0.015</f>
        <v>45</v>
      </c>
    </row>
    <row r="13" spans="2:8" x14ac:dyDescent="0.35">
      <c r="B13" s="7" t="s">
        <v>43</v>
      </c>
      <c r="C13" s="8"/>
      <c r="D13" s="16">
        <v>5800</v>
      </c>
      <c r="E13" s="16">
        <v>1</v>
      </c>
      <c r="F13" s="16">
        <f>IF(F8&gt;1,D13/E13,0)</f>
        <v>0</v>
      </c>
      <c r="G13" s="16">
        <f>(D13/2)*F6</f>
        <v>188.5</v>
      </c>
      <c r="H13" s="19">
        <f t="shared" si="0"/>
        <v>43.5</v>
      </c>
    </row>
    <row r="14" spans="2:8" x14ac:dyDescent="0.35">
      <c r="B14" s="8" t="s">
        <v>44</v>
      </c>
      <c r="C14" s="8"/>
      <c r="D14" s="15">
        <v>6500</v>
      </c>
      <c r="E14" s="15">
        <v>25</v>
      </c>
      <c r="F14" s="16">
        <f>D14/E14</f>
        <v>260</v>
      </c>
      <c r="G14" s="16">
        <f>(D14/2)*F6</f>
        <v>211.25</v>
      </c>
      <c r="H14" s="19">
        <f t="shared" si="0"/>
        <v>48.75</v>
      </c>
    </row>
    <row r="15" spans="2:8" x14ac:dyDescent="0.35">
      <c r="B15" s="7" t="s">
        <v>45</v>
      </c>
      <c r="C15" s="8"/>
      <c r="D15" s="15">
        <v>3500</v>
      </c>
      <c r="E15" s="15">
        <v>12</v>
      </c>
      <c r="F15" s="16">
        <f t="shared" ref="F15:F19" si="1">D15/E15</f>
        <v>291.66666666666669</v>
      </c>
      <c r="G15" s="16">
        <f>(D15/2)*F6</f>
        <v>113.75</v>
      </c>
      <c r="H15" s="19">
        <f t="shared" si="0"/>
        <v>26.25</v>
      </c>
    </row>
    <row r="16" spans="2:8" x14ac:dyDescent="0.35">
      <c r="B16" s="7" t="s">
        <v>46</v>
      </c>
      <c r="C16" s="8"/>
      <c r="D16" s="15">
        <v>200</v>
      </c>
      <c r="E16" s="15">
        <v>10</v>
      </c>
      <c r="F16" s="16">
        <f t="shared" si="1"/>
        <v>20</v>
      </c>
      <c r="G16" s="16">
        <f>(D16/2)*F6</f>
        <v>6.5</v>
      </c>
      <c r="H16" s="19">
        <f t="shared" si="0"/>
        <v>1.5</v>
      </c>
    </row>
    <row r="17" spans="2:8" x14ac:dyDescent="0.35">
      <c r="B17" s="7" t="s">
        <v>121</v>
      </c>
      <c r="C17" s="8"/>
      <c r="D17" s="15">
        <v>6000</v>
      </c>
      <c r="E17" s="15">
        <v>10</v>
      </c>
      <c r="F17" s="16">
        <f t="shared" si="1"/>
        <v>600</v>
      </c>
      <c r="G17" s="16">
        <f>(D17/2)*F6</f>
        <v>195</v>
      </c>
      <c r="H17" s="19">
        <f t="shared" si="0"/>
        <v>45</v>
      </c>
    </row>
    <row r="18" spans="2:8" x14ac:dyDescent="0.35">
      <c r="B18" s="8" t="s">
        <v>47</v>
      </c>
      <c r="C18" s="8"/>
      <c r="D18" s="15">
        <v>800</v>
      </c>
      <c r="E18" s="15">
        <v>20</v>
      </c>
      <c r="F18" s="16">
        <f t="shared" si="1"/>
        <v>40</v>
      </c>
      <c r="G18" s="16">
        <f>(D18/2)*F6</f>
        <v>26</v>
      </c>
      <c r="H18" s="19">
        <f t="shared" si="0"/>
        <v>6</v>
      </c>
    </row>
    <row r="19" spans="2:8" x14ac:dyDescent="0.35">
      <c r="B19" s="7" t="s">
        <v>48</v>
      </c>
      <c r="C19" s="8"/>
      <c r="D19" s="17">
        <v>8000</v>
      </c>
      <c r="E19" s="15">
        <v>20</v>
      </c>
      <c r="F19" s="18">
        <f t="shared" si="1"/>
        <v>400</v>
      </c>
      <c r="G19" s="18">
        <f>(D19/2)*F6</f>
        <v>260</v>
      </c>
      <c r="H19" s="20">
        <f t="shared" si="0"/>
        <v>60</v>
      </c>
    </row>
    <row r="20" spans="2:8" ht="16" thickBot="1" x14ac:dyDescent="0.4">
      <c r="B20" s="8" t="s">
        <v>49</v>
      </c>
      <c r="C20" s="8"/>
      <c r="D20" s="10">
        <f>SUM(D12:D19)</f>
        <v>36800</v>
      </c>
      <c r="E20" s="11"/>
      <c r="F20" s="10">
        <f>SUM(F12:F19)</f>
        <v>1911.6666666666667</v>
      </c>
      <c r="G20" s="10">
        <f>SUM(G12:G19)</f>
        <v>1196</v>
      </c>
      <c r="H20" s="21">
        <f>SUM(H12:H19)</f>
        <v>276</v>
      </c>
    </row>
    <row r="21" spans="2:8" ht="16" thickTop="1" x14ac:dyDescent="0.35">
      <c r="B21" s="8"/>
      <c r="C21" s="8"/>
      <c r="D21" s="8"/>
      <c r="E21" s="8"/>
      <c r="F21" s="8"/>
      <c r="G21" s="8"/>
      <c r="H21" s="8"/>
    </row>
    <row r="22" spans="2:8" x14ac:dyDescent="0.35">
      <c r="B22" s="8"/>
      <c r="C22" s="8"/>
      <c r="D22" s="8" t="s">
        <v>59</v>
      </c>
      <c r="E22" s="8"/>
      <c r="F22" s="8"/>
      <c r="G22" s="8"/>
      <c r="H22" s="9">
        <f>F20+G20+H20</f>
        <v>3383.666666666667</v>
      </c>
    </row>
    <row r="23" spans="2:8" x14ac:dyDescent="0.35">
      <c r="B23" s="8"/>
      <c r="C23" s="8"/>
      <c r="D23" s="8"/>
      <c r="E23" s="8"/>
      <c r="F23" s="8"/>
      <c r="G23" s="8"/>
      <c r="H23" s="8"/>
    </row>
    <row r="24" spans="2:8" ht="16" thickBot="1" x14ac:dyDescent="0.4">
      <c r="B24" s="8"/>
      <c r="C24" s="8"/>
      <c r="D24" s="8" t="s">
        <v>60</v>
      </c>
      <c r="E24" s="8"/>
      <c r="F24" s="8"/>
      <c r="G24" s="8"/>
      <c r="H24" s="59">
        <f>H22/F5</f>
        <v>84.591666666666669</v>
      </c>
    </row>
    <row r="25" spans="2:8" x14ac:dyDescent="0.35">
      <c r="B25" s="8"/>
      <c r="C25" s="8"/>
      <c r="D25" s="8"/>
      <c r="E25" s="8"/>
      <c r="F25" s="8"/>
      <c r="G25" s="8"/>
      <c r="H25" s="58"/>
    </row>
    <row r="26" spans="2:8" x14ac:dyDescent="0.35">
      <c r="B26" s="37"/>
      <c r="C26" s="37"/>
      <c r="D26" s="37"/>
      <c r="E26" s="37"/>
      <c r="F26" s="37"/>
      <c r="G26" s="37"/>
      <c r="H26" s="37"/>
    </row>
    <row r="27" spans="2:8" x14ac:dyDescent="0.35">
      <c r="B27" s="94" t="s">
        <v>61</v>
      </c>
      <c r="C27" s="38"/>
      <c r="D27" s="38"/>
      <c r="E27" s="38"/>
      <c r="F27" s="38"/>
      <c r="G27" s="38"/>
      <c r="H27" s="39"/>
    </row>
    <row r="28" spans="2:8" x14ac:dyDescent="0.35">
      <c r="B28" s="8"/>
      <c r="C28" s="8"/>
      <c r="D28" s="8"/>
      <c r="E28" s="8"/>
      <c r="F28" s="8"/>
      <c r="G28" s="8"/>
      <c r="H28" s="8"/>
    </row>
    <row r="29" spans="2:8" x14ac:dyDescent="0.35">
      <c r="B29" s="8" t="s">
        <v>62</v>
      </c>
      <c r="C29" s="8"/>
      <c r="D29" s="8"/>
      <c r="E29" s="8"/>
      <c r="F29" s="7">
        <v>15</v>
      </c>
      <c r="G29" s="8"/>
      <c r="H29" s="8"/>
    </row>
    <row r="30" spans="2:8" x14ac:dyDescent="0.35">
      <c r="B30" s="8" t="s">
        <v>63</v>
      </c>
      <c r="C30" s="8"/>
      <c r="D30" s="8"/>
      <c r="E30" s="8"/>
      <c r="F30" s="95">
        <f>(D20-D18-D19)*0.005+25+(D13*0.12)</f>
        <v>861</v>
      </c>
      <c r="G30" s="8"/>
      <c r="H30" s="8">
        <f>F30/F5</f>
        <v>21.524999999999999</v>
      </c>
    </row>
    <row r="31" spans="2:8" x14ac:dyDescent="0.35">
      <c r="B31" s="8" t="s">
        <v>64</v>
      </c>
      <c r="C31" s="8"/>
      <c r="D31" s="8"/>
      <c r="E31" s="8"/>
      <c r="F31" s="7">
        <v>2250</v>
      </c>
      <c r="G31" s="8"/>
      <c r="H31" s="8"/>
    </row>
    <row r="32" spans="2:8" x14ac:dyDescent="0.35">
      <c r="B32" s="8" t="s">
        <v>65</v>
      </c>
      <c r="C32" s="8"/>
      <c r="D32" s="8"/>
      <c r="E32" s="8"/>
      <c r="F32" s="95"/>
      <c r="G32" s="8"/>
      <c r="H32" s="8"/>
    </row>
    <row r="33" spans="2:8" x14ac:dyDescent="0.35">
      <c r="B33" s="8" t="s">
        <v>66</v>
      </c>
      <c r="C33" s="8"/>
      <c r="D33" s="8"/>
      <c r="E33" s="8"/>
      <c r="F33" s="7">
        <f>F29*12</f>
        <v>180</v>
      </c>
      <c r="G33" s="8"/>
      <c r="H33" s="8"/>
    </row>
    <row r="34" spans="2:8" x14ac:dyDescent="0.35">
      <c r="B34" s="8" t="s">
        <v>67</v>
      </c>
      <c r="C34" s="8"/>
      <c r="D34" s="8"/>
      <c r="E34" s="8"/>
      <c r="F34" s="7">
        <v>0.08</v>
      </c>
      <c r="G34" s="8"/>
      <c r="H34" s="8"/>
    </row>
    <row r="35" spans="2:8" x14ac:dyDescent="0.35">
      <c r="B35" s="8" t="s">
        <v>68</v>
      </c>
      <c r="C35" s="8"/>
      <c r="D35" s="8"/>
      <c r="E35" s="8"/>
      <c r="F35" s="8">
        <f>(F29*0.746*F34*F31)+F33</f>
        <v>2194.1999999999998</v>
      </c>
      <c r="G35" s="8"/>
      <c r="H35" s="8"/>
    </row>
    <row r="36" spans="2:8" x14ac:dyDescent="0.35">
      <c r="B36" s="8" t="s">
        <v>69</v>
      </c>
      <c r="C36" s="8"/>
      <c r="D36" s="8"/>
      <c r="E36" s="8"/>
      <c r="F36" s="8"/>
      <c r="G36" s="8"/>
      <c r="H36" s="8">
        <f>F35/F5</f>
        <v>54.854999999999997</v>
      </c>
    </row>
    <row r="37" spans="2:8" x14ac:dyDescent="0.35">
      <c r="B37" s="8"/>
      <c r="C37" s="8"/>
      <c r="D37" s="8"/>
      <c r="E37" s="8"/>
      <c r="F37" s="8"/>
      <c r="G37" s="8"/>
      <c r="H37" s="8"/>
    </row>
    <row r="38" spans="2:8" x14ac:dyDescent="0.35">
      <c r="B38" s="8"/>
      <c r="C38" s="8"/>
      <c r="D38" s="8"/>
      <c r="E38" s="8"/>
      <c r="F38" s="8"/>
      <c r="G38" s="8"/>
      <c r="H38" s="8"/>
    </row>
    <row r="39" spans="2:8" x14ac:dyDescent="0.35">
      <c r="B39" s="8"/>
      <c r="C39" s="8"/>
      <c r="D39" s="8"/>
      <c r="E39" s="8"/>
      <c r="F39" s="8"/>
      <c r="G39" s="8"/>
      <c r="H39" s="8"/>
    </row>
    <row r="40" spans="2:8" ht="16" thickBot="1" x14ac:dyDescent="0.4">
      <c r="B40" s="8"/>
      <c r="C40" s="8"/>
      <c r="D40" s="8" t="s">
        <v>70</v>
      </c>
      <c r="E40" s="8"/>
      <c r="F40" s="8"/>
      <c r="G40" s="8"/>
      <c r="H40" s="11">
        <f>SUM(H28:H39)</f>
        <v>76.38</v>
      </c>
    </row>
    <row r="41" spans="2:8" ht="16" thickTop="1" x14ac:dyDescent="0.35"/>
  </sheetData>
  <pageMargins left="0.7" right="0.7" top="0.75" bottom="0.75" header="0.3" footer="0.3"/>
  <pageSetup scale="81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L30"/>
  <sheetViews>
    <sheetView zoomScaleNormal="100" workbookViewId="0">
      <selection activeCell="E6" sqref="E6"/>
    </sheetView>
  </sheetViews>
  <sheetFormatPr defaultColWidth="11.25" defaultRowHeight="15.5" x14ac:dyDescent="0.35"/>
  <sheetData>
    <row r="2" spans="2:12" x14ac:dyDescent="0.35">
      <c r="B2" s="44"/>
      <c r="C2" s="45"/>
      <c r="D2" s="44"/>
      <c r="E2" s="44"/>
      <c r="F2" s="44"/>
      <c r="G2" s="44"/>
      <c r="H2" s="44"/>
      <c r="I2" s="44"/>
      <c r="J2" s="44"/>
      <c r="K2" s="44"/>
      <c r="L2" s="36"/>
    </row>
    <row r="3" spans="2:12" x14ac:dyDescent="0.35">
      <c r="B3" s="43" t="s">
        <v>71</v>
      </c>
      <c r="C3" s="43"/>
      <c r="D3" s="43"/>
      <c r="E3" s="43"/>
      <c r="F3" s="43"/>
      <c r="G3" s="43"/>
      <c r="H3" s="43"/>
      <c r="I3" s="44"/>
      <c r="J3" s="44"/>
      <c r="K3" s="44"/>
      <c r="L3" s="36"/>
    </row>
    <row r="4" spans="2:12" x14ac:dyDescent="0.35">
      <c r="B4" s="44"/>
      <c r="C4" s="44"/>
      <c r="D4" s="44"/>
      <c r="E4" s="44"/>
      <c r="F4" s="44"/>
      <c r="G4" s="44"/>
      <c r="H4" s="44"/>
      <c r="I4" s="44"/>
      <c r="J4" s="44"/>
      <c r="K4" s="44"/>
      <c r="L4" s="36"/>
    </row>
    <row r="5" spans="2:12" x14ac:dyDescent="0.35">
      <c r="B5" s="44" t="s">
        <v>72</v>
      </c>
      <c r="C5" s="44"/>
      <c r="D5" s="44"/>
      <c r="E5" s="15">
        <f>+Main!F8</f>
        <v>40</v>
      </c>
      <c r="F5" s="44"/>
      <c r="G5" s="44"/>
      <c r="H5" s="44"/>
      <c r="I5" s="44"/>
      <c r="J5" s="44"/>
      <c r="K5" s="44"/>
      <c r="L5" s="36"/>
    </row>
    <row r="6" spans="2:12" x14ac:dyDescent="0.35">
      <c r="B6" s="44" t="s">
        <v>73</v>
      </c>
      <c r="C6" s="44"/>
      <c r="D6" s="44"/>
      <c r="E6" s="55">
        <v>6.5000000000000002E-2</v>
      </c>
      <c r="F6" s="44"/>
      <c r="G6" s="44"/>
      <c r="H6" s="44"/>
      <c r="I6" s="44"/>
      <c r="J6" s="44"/>
      <c r="K6" s="44"/>
      <c r="L6" s="36"/>
    </row>
    <row r="7" spans="2:12" x14ac:dyDescent="0.35">
      <c r="B7" s="44"/>
      <c r="C7" s="44"/>
      <c r="D7" s="44"/>
      <c r="E7" s="44"/>
      <c r="F7" s="44"/>
      <c r="G7" s="44"/>
      <c r="H7" s="44"/>
      <c r="I7" s="44"/>
      <c r="J7" s="44"/>
      <c r="K7" s="44"/>
      <c r="L7" s="36"/>
    </row>
    <row r="8" spans="2:12" x14ac:dyDescent="0.35">
      <c r="B8" s="46" t="s">
        <v>118</v>
      </c>
      <c r="C8" s="44"/>
      <c r="D8" s="44"/>
      <c r="E8" s="44"/>
      <c r="F8" s="44"/>
      <c r="G8" s="44"/>
      <c r="H8" s="44"/>
      <c r="I8" s="44"/>
      <c r="J8" s="44"/>
      <c r="K8" s="44"/>
      <c r="L8" s="36"/>
    </row>
    <row r="9" spans="2:12" x14ac:dyDescent="0.35">
      <c r="B9" s="44"/>
      <c r="C9" s="44"/>
      <c r="D9" s="44"/>
      <c r="E9" s="44"/>
      <c r="F9" s="44"/>
      <c r="G9" s="44"/>
      <c r="H9" s="44"/>
      <c r="I9" s="44"/>
      <c r="J9" s="44"/>
      <c r="K9" s="44"/>
      <c r="L9" s="36"/>
    </row>
    <row r="10" spans="2:12" x14ac:dyDescent="0.35">
      <c r="B10" s="43"/>
      <c r="C10" s="43"/>
      <c r="D10" s="43" t="s">
        <v>74</v>
      </c>
      <c r="E10" s="43"/>
      <c r="F10" s="43" t="s">
        <v>75</v>
      </c>
      <c r="G10" s="43" t="s">
        <v>76</v>
      </c>
      <c r="H10" s="43"/>
      <c r="I10" s="43"/>
      <c r="J10" s="43"/>
      <c r="K10" s="43"/>
      <c r="L10" s="36"/>
    </row>
    <row r="11" spans="2:12" x14ac:dyDescent="0.35">
      <c r="B11" s="96" t="s">
        <v>7</v>
      </c>
      <c r="C11" s="96"/>
      <c r="D11" s="96" t="s">
        <v>77</v>
      </c>
      <c r="E11" s="96" t="s">
        <v>78</v>
      </c>
      <c r="F11" s="96" t="s">
        <v>79</v>
      </c>
      <c r="G11" s="96" t="s">
        <v>80</v>
      </c>
      <c r="H11" s="96" t="s">
        <v>81</v>
      </c>
      <c r="I11" s="97" t="s">
        <v>82</v>
      </c>
      <c r="J11" s="96" t="s">
        <v>83</v>
      </c>
      <c r="K11" s="96" t="s">
        <v>84</v>
      </c>
      <c r="L11" s="36"/>
    </row>
    <row r="12" spans="2:12" x14ac:dyDescent="0.35">
      <c r="B12" s="44" t="s">
        <v>85</v>
      </c>
      <c r="C12" s="44"/>
      <c r="D12" s="47">
        <v>0.33</v>
      </c>
      <c r="E12" s="15">
        <v>70000</v>
      </c>
      <c r="F12" s="15">
        <f t="shared" ref="F12:F21" si="0">0.2*E12</f>
        <v>14000</v>
      </c>
      <c r="G12" s="15">
        <v>15</v>
      </c>
      <c r="H12" s="15">
        <f t="shared" ref="H12:H21" si="1">(E12-F12)/G12*D12</f>
        <v>1232</v>
      </c>
      <c r="I12" s="15">
        <f>(E12+F12)/2*E6*D12</f>
        <v>900.90000000000009</v>
      </c>
      <c r="J12" s="15">
        <f t="shared" ref="J12:J21" si="2">(E12+F12)/2*0.014*D12</f>
        <v>194.04000000000002</v>
      </c>
      <c r="K12" s="15">
        <f>(H12+I12+J12)/E5</f>
        <v>58.173500000000004</v>
      </c>
      <c r="L12" s="36"/>
    </row>
    <row r="13" spans="2:12" x14ac:dyDescent="0.35">
      <c r="B13" s="44" t="s">
        <v>86</v>
      </c>
      <c r="C13" s="44"/>
      <c r="D13" s="47">
        <v>0.33</v>
      </c>
      <c r="E13" s="15">
        <v>22000</v>
      </c>
      <c r="F13" s="15">
        <f t="shared" si="0"/>
        <v>4400</v>
      </c>
      <c r="G13" s="15">
        <v>15</v>
      </c>
      <c r="H13" s="15">
        <f t="shared" si="1"/>
        <v>387.2</v>
      </c>
      <c r="I13" s="15">
        <f>(E13+F13)/2*E6*D13</f>
        <v>283.14</v>
      </c>
      <c r="J13" s="15">
        <f t="shared" si="2"/>
        <v>60.984000000000009</v>
      </c>
      <c r="K13" s="15">
        <f>(H13+I13+J13)/E5</f>
        <v>18.283099999999997</v>
      </c>
      <c r="L13" s="36"/>
    </row>
    <row r="14" spans="2:12" x14ac:dyDescent="0.35">
      <c r="B14" s="44" t="s">
        <v>87</v>
      </c>
      <c r="C14" s="44"/>
      <c r="D14" s="47">
        <v>0.33</v>
      </c>
      <c r="E14" s="15">
        <v>22000</v>
      </c>
      <c r="F14" s="15">
        <f t="shared" si="0"/>
        <v>4400</v>
      </c>
      <c r="G14" s="15">
        <v>15</v>
      </c>
      <c r="H14" s="15">
        <f t="shared" si="1"/>
        <v>387.2</v>
      </c>
      <c r="I14" s="15">
        <f>(E14+F14)/2*E6*D14</f>
        <v>283.14</v>
      </c>
      <c r="J14" s="15">
        <f t="shared" si="2"/>
        <v>60.984000000000009</v>
      </c>
      <c r="K14" s="15">
        <f>(H14+I14+J14)/E5</f>
        <v>18.283099999999997</v>
      </c>
      <c r="L14" s="36"/>
    </row>
    <row r="15" spans="2:12" x14ac:dyDescent="0.35">
      <c r="B15" s="44" t="s">
        <v>88</v>
      </c>
      <c r="C15" s="44"/>
      <c r="D15" s="47">
        <v>0.33</v>
      </c>
      <c r="E15" s="15">
        <v>5000</v>
      </c>
      <c r="F15" s="15">
        <f t="shared" si="0"/>
        <v>1000</v>
      </c>
      <c r="G15" s="15">
        <v>15</v>
      </c>
      <c r="H15" s="15">
        <f t="shared" si="1"/>
        <v>88.000000000000014</v>
      </c>
      <c r="I15" s="15">
        <f>(E15+F15)/2*E6*D15</f>
        <v>64.350000000000009</v>
      </c>
      <c r="J15" s="15">
        <f t="shared" si="2"/>
        <v>13.860000000000001</v>
      </c>
      <c r="K15" s="15">
        <f>(H15+I15+J15)/E5</f>
        <v>4.1552500000000006</v>
      </c>
      <c r="L15" s="36"/>
    </row>
    <row r="16" spans="2:12" x14ac:dyDescent="0.35">
      <c r="B16" s="44" t="s">
        <v>89</v>
      </c>
      <c r="C16" s="44"/>
      <c r="D16" s="47">
        <v>0.33</v>
      </c>
      <c r="E16" s="15">
        <v>12000</v>
      </c>
      <c r="F16" s="15">
        <f t="shared" si="0"/>
        <v>2400</v>
      </c>
      <c r="G16" s="15">
        <v>15</v>
      </c>
      <c r="H16" s="15">
        <f t="shared" si="1"/>
        <v>211.20000000000002</v>
      </c>
      <c r="I16" s="15">
        <f>(E16+F16)/2*E6*D16</f>
        <v>154.44</v>
      </c>
      <c r="J16" s="15">
        <f t="shared" si="2"/>
        <v>33.264000000000003</v>
      </c>
      <c r="K16" s="15">
        <f>(H16+I16+J16)/E5</f>
        <v>9.9725999999999999</v>
      </c>
      <c r="L16" s="36"/>
    </row>
    <row r="17" spans="2:12" x14ac:dyDescent="0.35">
      <c r="B17" s="44" t="s">
        <v>90</v>
      </c>
      <c r="C17" s="44"/>
      <c r="D17" s="47">
        <v>0.33</v>
      </c>
      <c r="E17" s="15">
        <v>6000</v>
      </c>
      <c r="F17" s="15">
        <f t="shared" si="0"/>
        <v>1200</v>
      </c>
      <c r="G17" s="15">
        <v>15</v>
      </c>
      <c r="H17" s="15">
        <f t="shared" si="1"/>
        <v>105.60000000000001</v>
      </c>
      <c r="I17" s="15">
        <f>(E17+F17)/2*E6*D17</f>
        <v>77.22</v>
      </c>
      <c r="J17" s="15">
        <f t="shared" si="2"/>
        <v>16.632000000000001</v>
      </c>
      <c r="K17" s="15">
        <f>(H17+I17+J17)/E5</f>
        <v>4.9863</v>
      </c>
      <c r="L17" s="36"/>
    </row>
    <row r="18" spans="2:12" x14ac:dyDescent="0.35">
      <c r="B18" s="44" t="s">
        <v>98</v>
      </c>
      <c r="C18" s="44"/>
      <c r="D18" s="47">
        <v>0.33</v>
      </c>
      <c r="E18" s="15">
        <v>11800</v>
      </c>
      <c r="F18" s="15">
        <v>2360</v>
      </c>
      <c r="G18" s="15">
        <v>15</v>
      </c>
      <c r="H18" s="15">
        <f>(E18-F18)/G18*D18</f>
        <v>207.68000000000004</v>
      </c>
      <c r="I18" s="15">
        <f>(E18+F18)/2*E6*D18</f>
        <v>151.86600000000001</v>
      </c>
      <c r="J18" s="15">
        <f t="shared" si="2"/>
        <v>32.709600000000002</v>
      </c>
      <c r="K18" s="15">
        <f>(H18+I18+J18)/E5</f>
        <v>9.8063900000000022</v>
      </c>
      <c r="L18" s="36"/>
    </row>
    <row r="19" spans="2:12" x14ac:dyDescent="0.35">
      <c r="B19" s="44" t="s">
        <v>91</v>
      </c>
      <c r="C19" s="44"/>
      <c r="D19" s="47">
        <v>0.33</v>
      </c>
      <c r="E19" s="15">
        <v>40000</v>
      </c>
      <c r="F19" s="15">
        <f t="shared" si="0"/>
        <v>8000</v>
      </c>
      <c r="G19" s="15">
        <v>15</v>
      </c>
      <c r="H19" s="15">
        <f t="shared" si="1"/>
        <v>704.00000000000011</v>
      </c>
      <c r="I19" s="15">
        <f>(E19+F19)/2*E6*D19</f>
        <v>514.80000000000007</v>
      </c>
      <c r="J19" s="15">
        <f t="shared" si="2"/>
        <v>110.88000000000001</v>
      </c>
      <c r="K19" s="15">
        <f>(H19+I19+J19)/E5</f>
        <v>33.242000000000004</v>
      </c>
      <c r="L19" s="36"/>
    </row>
    <row r="20" spans="2:12" x14ac:dyDescent="0.35">
      <c r="B20" s="44" t="s">
        <v>92</v>
      </c>
      <c r="C20" s="44"/>
      <c r="D20" s="47">
        <v>0.33</v>
      </c>
      <c r="E20" s="15">
        <v>9600</v>
      </c>
      <c r="F20" s="15">
        <f t="shared" si="0"/>
        <v>1920</v>
      </c>
      <c r="G20" s="15">
        <v>15</v>
      </c>
      <c r="H20" s="15">
        <f>(E20-F20)/G20*D20</f>
        <v>168.96</v>
      </c>
      <c r="I20" s="15">
        <f>(E20+F20)/2*E6*D20</f>
        <v>123.55200000000002</v>
      </c>
      <c r="J20" s="15">
        <f t="shared" si="2"/>
        <v>26.6112</v>
      </c>
      <c r="K20" s="15">
        <f>(H20+I20+J20)/E5</f>
        <v>7.9780800000000012</v>
      </c>
      <c r="L20" s="36"/>
    </row>
    <row r="21" spans="2:12" x14ac:dyDescent="0.35">
      <c r="B21" s="44" t="s">
        <v>93</v>
      </c>
      <c r="C21" s="44"/>
      <c r="D21" s="47">
        <v>0.33</v>
      </c>
      <c r="E21" s="15">
        <v>0</v>
      </c>
      <c r="F21" s="15">
        <f t="shared" si="0"/>
        <v>0</v>
      </c>
      <c r="G21" s="15">
        <v>0.01</v>
      </c>
      <c r="H21" s="15">
        <f t="shared" si="1"/>
        <v>0</v>
      </c>
      <c r="I21" s="15">
        <f>(E21+F21)/2*E7*D21</f>
        <v>0</v>
      </c>
      <c r="J21" s="15">
        <f t="shared" si="2"/>
        <v>0</v>
      </c>
      <c r="K21" s="15">
        <f>(H21+I21+J21)/E6</f>
        <v>0</v>
      </c>
      <c r="L21" s="36"/>
    </row>
    <row r="22" spans="2:12" x14ac:dyDescent="0.35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36"/>
    </row>
    <row r="23" spans="2:12" ht="16" thickBot="1" x14ac:dyDescent="0.4">
      <c r="B23" s="45" t="s">
        <v>6</v>
      </c>
      <c r="C23" s="44"/>
      <c r="D23" s="44"/>
      <c r="E23" s="48">
        <f>SUM(E12*D12,E14*D14,E13*D13,E15*D15,E16*D16,E17*D17,E18*D18,E19*D19,E20*D20,E21*D21,E22*D12)</f>
        <v>65472</v>
      </c>
      <c r="F23" s="48">
        <f>SUM(F12*D12,F14*D14,F13*D13,F15*D15,F16*D16,F17*D17,F18*D18,F19*D19,F20*D20,F21*D21,F22*D12)</f>
        <v>13094.4</v>
      </c>
      <c r="G23" s="49"/>
      <c r="H23" s="48">
        <f>SUM(H12:H22)</f>
        <v>3491.8399999999997</v>
      </c>
      <c r="I23" s="48">
        <f>SUM(I12:I22)</f>
        <v>2553.4079999999999</v>
      </c>
      <c r="J23" s="48">
        <f>SUM(J12:J22)</f>
        <v>549.9648000000002</v>
      </c>
      <c r="K23" s="48">
        <f>SUM(K12:K22)</f>
        <v>164.88032000000001</v>
      </c>
      <c r="L23" s="36"/>
    </row>
    <row r="24" spans="2:12" ht="16" thickTop="1" x14ac:dyDescent="0.35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36"/>
    </row>
    <row r="25" spans="2:12" x14ac:dyDescent="0.35">
      <c r="B25" s="44"/>
      <c r="C25" s="44"/>
      <c r="D25" s="44" t="s">
        <v>94</v>
      </c>
      <c r="E25" s="44"/>
      <c r="F25" s="44"/>
      <c r="G25" s="44"/>
      <c r="H25" s="46">
        <f>(E23+F23)/2*E6</f>
        <v>2553.4079999999999</v>
      </c>
      <c r="I25" s="44"/>
      <c r="J25" s="44"/>
      <c r="K25" s="44"/>
      <c r="L25" s="36"/>
    </row>
    <row r="26" spans="2:12" x14ac:dyDescent="0.35">
      <c r="B26" s="44"/>
      <c r="C26" s="44"/>
      <c r="D26" s="44" t="s">
        <v>95</v>
      </c>
      <c r="E26" s="44"/>
      <c r="F26" s="44"/>
      <c r="G26" s="44"/>
      <c r="H26" s="46">
        <f>(E23+F23)/2*0.014</f>
        <v>549.96479999999997</v>
      </c>
      <c r="I26" s="44"/>
      <c r="J26" s="44"/>
      <c r="K26" s="44"/>
      <c r="L26" s="36"/>
    </row>
    <row r="27" spans="2:12" x14ac:dyDescent="0.35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36"/>
    </row>
    <row r="28" spans="2:12" x14ac:dyDescent="0.35">
      <c r="B28" s="44"/>
      <c r="C28" s="44"/>
      <c r="D28" s="44" t="s">
        <v>96</v>
      </c>
      <c r="E28" s="44"/>
      <c r="F28" s="44"/>
      <c r="G28" s="44"/>
      <c r="H28" s="50">
        <f>SUM(H23:H26)</f>
        <v>6595.2127999999993</v>
      </c>
      <c r="I28" s="44"/>
      <c r="J28" s="44"/>
      <c r="K28" s="44"/>
      <c r="L28" s="36"/>
    </row>
    <row r="29" spans="2:12" ht="16" thickBot="1" x14ac:dyDescent="0.4">
      <c r="B29" s="44"/>
      <c r="C29" s="44"/>
      <c r="D29" s="44" t="s">
        <v>97</v>
      </c>
      <c r="E29" s="44"/>
      <c r="F29" s="44"/>
      <c r="G29" s="44"/>
      <c r="H29" s="51">
        <f>H28/E5</f>
        <v>164.88031999999998</v>
      </c>
      <c r="I29" s="44"/>
      <c r="J29" s="44"/>
      <c r="K29" s="44"/>
      <c r="L29" s="36"/>
    </row>
    <row r="30" spans="2:12" ht="16" thickTop="1" x14ac:dyDescent="0.35">
      <c r="B30" s="8"/>
      <c r="C30" s="8"/>
      <c r="D30" s="8"/>
      <c r="E30" s="8"/>
      <c r="F30" s="8"/>
      <c r="G30" s="8"/>
      <c r="H30" s="8"/>
      <c r="I30" s="8"/>
      <c r="J30" s="8"/>
      <c r="K30" s="8"/>
    </row>
  </sheetData>
  <pageMargins left="0.7" right="0.7" top="0.75" bottom="0.75" header="0.3" footer="0.3"/>
  <pageSetup scale="67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rx>
  <Cntr/>
</Prx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681A1F1102C479B2537B220FF00D2" ma:contentTypeVersion="15" ma:contentTypeDescription="Create a new document." ma:contentTypeScope="" ma:versionID="8d4b321adc1c541f4ee755e18bdec4af">
  <xsd:schema xmlns:xsd="http://www.w3.org/2001/XMLSchema" xmlns:xs="http://www.w3.org/2001/XMLSchema" xmlns:p="http://schemas.microsoft.com/office/2006/metadata/properties" xmlns:ns1="http://schemas.microsoft.com/sharepoint/v3" xmlns:ns3="468bd54d-1d51-4134-ac75-53efefd2a396" xmlns:ns4="3bc3b2b6-37b1-47da-ae18-d016d6023639" targetNamespace="http://schemas.microsoft.com/office/2006/metadata/properties" ma:root="true" ma:fieldsID="2b2a7d855bb06dcebb9d1afbaf3f82a9" ns1:_="" ns3:_="" ns4:_="">
    <xsd:import namespace="http://schemas.microsoft.com/sharepoint/v3"/>
    <xsd:import namespace="468bd54d-1d51-4134-ac75-53efefd2a396"/>
    <xsd:import namespace="3bc3b2b6-37b1-47da-ae18-d016d60236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1:_ip_UnifiedCompliancePolicyProperties" minOccurs="0"/>
                <xsd:element ref="ns1:_ip_UnifiedCompliancePolicyUIAc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8bd54d-1d51-4134-ac75-53efefd2a3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3b2b6-37b1-47da-ae18-d016d60236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F0DD92-608C-4BD7-9E2B-19F122D3C3B1}">
  <ds:schemaRefs/>
</ds:datastoreItem>
</file>

<file path=customXml/itemProps2.xml><?xml version="1.0" encoding="utf-8"?>
<ds:datastoreItem xmlns:ds="http://schemas.openxmlformats.org/officeDocument/2006/customXml" ds:itemID="{478A5AC0-DC92-4888-805D-CB5658CF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68bd54d-1d51-4134-ac75-53efefd2a396"/>
    <ds:schemaRef ds:uri="3bc3b2b6-37b1-47da-ae18-d016d60236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C41A4-8AF0-4407-8AA1-F3941AFBA2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507406-2C66-4A88-9675-0480B17F0F58}">
  <ds:schemaRefs>
    <ds:schemaRef ds:uri="468bd54d-1d51-4134-ac75-53efefd2a396"/>
    <ds:schemaRef ds:uri="3bc3b2b6-37b1-47da-ae18-d016d602363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Irrigation</vt:lpstr>
      <vt:lpstr>Fixed_Cost</vt:lpstr>
      <vt:lpstr>Main!Print_Area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baudrand</dc:creator>
  <cp:lastModifiedBy>Marquitrice Mangham</cp:lastModifiedBy>
  <cp:lastPrinted>2020-01-29T20:27:04Z</cp:lastPrinted>
  <dcterms:created xsi:type="dcterms:W3CDTF">2019-11-05T17:50:44Z</dcterms:created>
  <dcterms:modified xsi:type="dcterms:W3CDTF">2020-09-10T02:13:32Z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0x010100B25681A1F1102C479B2537B220FF00D2</vt:lpwstr>
  </property>
</Properties>
</file>